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0" windowWidth="20490" windowHeight="7080" tabRatio="709"/>
  </bookViews>
  <sheets>
    <sheet name="BS_Q3-60" sheetId="50" r:id="rId1"/>
    <sheet name="PL_Q3-60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CashFlow!$A$145</definedName>
    <definedName name="_xlnm.Print_Area" localSheetId="0">'BS_Q3-60'!$A$1:$L$140</definedName>
    <definedName name="_xlnm.Print_Area" localSheetId="4">CashFlow!$A$1:$M$95</definedName>
    <definedName name="_xlnm.Print_Area" localSheetId="3">'Changed-Com'!$A$1:$R$37</definedName>
    <definedName name="_xlnm.Print_Area" localSheetId="2">'Changed-Conso'!$A$1:$AB$42</definedName>
    <definedName name="_xlnm.Print_Area" localSheetId="6">Conso_Q150!$A$1:$M$92</definedName>
    <definedName name="_xlnm.Print_Area" localSheetId="5">Equity!$A$1:$G$42</definedName>
    <definedName name="_xlnm.Print_Area" localSheetId="1">'PL_Q3-60'!$A$1:$L$200</definedName>
    <definedName name="_xlnm.Print_Titles" localSheetId="4">CashFlow!$1:$10</definedName>
    <definedName name="_xlnm.Print_Titles" localSheetId="6">Conso_Q150!$1:$4</definedName>
  </definedNames>
  <calcPr calcId="145621"/>
</workbook>
</file>

<file path=xl/calcChain.xml><?xml version="1.0" encoding="utf-8"?>
<calcChain xmlns="http://schemas.openxmlformats.org/spreadsheetml/2006/main">
  <c r="M15" i="47" l="1"/>
  <c r="I15" i="47"/>
  <c r="N26" i="49" l="1"/>
  <c r="M39" i="47" l="1"/>
  <c r="I39" i="47"/>
  <c r="J63" i="58"/>
  <c r="F63" i="58"/>
  <c r="K79" i="47" l="1"/>
  <c r="Z29" i="49" l="1"/>
  <c r="Z28" i="49" s="1"/>
  <c r="Z34" i="49" s="1"/>
  <c r="F120" i="50" s="1"/>
  <c r="V29" i="49"/>
  <c r="X29" i="49" s="1"/>
  <c r="L81" i="50"/>
  <c r="J81" i="50"/>
  <c r="H81" i="50"/>
  <c r="F81" i="50"/>
  <c r="P28" i="48"/>
  <c r="N28" i="48" s="1"/>
  <c r="R28" i="48" s="1"/>
  <c r="R31" i="49"/>
  <c r="R28" i="49" s="1"/>
  <c r="R34" i="49" s="1"/>
  <c r="V27" i="49"/>
  <c r="X27" i="49" s="1"/>
  <c r="AB27" i="49" s="1"/>
  <c r="N27" i="49"/>
  <c r="J113" i="58"/>
  <c r="J164" i="58" s="1"/>
  <c r="V26" i="49"/>
  <c r="X26" i="49" s="1"/>
  <c r="AB26" i="49" s="1"/>
  <c r="K71" i="47"/>
  <c r="G71" i="47"/>
  <c r="M71" i="47"/>
  <c r="I71" i="47"/>
  <c r="V18" i="49"/>
  <c r="X18" i="49" s="1"/>
  <c r="AB18" i="49" s="1"/>
  <c r="A157" i="58"/>
  <c r="L179" i="58"/>
  <c r="J179" i="58"/>
  <c r="H179" i="58"/>
  <c r="F179" i="58"/>
  <c r="L173" i="58"/>
  <c r="J173" i="58"/>
  <c r="H173" i="58"/>
  <c r="F173" i="58"/>
  <c r="H164" i="58"/>
  <c r="F164" i="58"/>
  <c r="A159" i="58"/>
  <c r="L131" i="58"/>
  <c r="J131" i="58"/>
  <c r="H131" i="58"/>
  <c r="F131" i="58"/>
  <c r="L123" i="58"/>
  <c r="J123" i="58"/>
  <c r="H123" i="58"/>
  <c r="F123" i="58"/>
  <c r="L164" i="58"/>
  <c r="J6" i="56"/>
  <c r="J7" i="56"/>
  <c r="M7" i="56" s="1"/>
  <c r="J8" i="56"/>
  <c r="M8" i="56" s="1"/>
  <c r="J9" i="56"/>
  <c r="M9" i="56" s="1"/>
  <c r="H10" i="56"/>
  <c r="J10" i="56" s="1"/>
  <c r="M10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J16" i="56" s="1"/>
  <c r="M16" i="56" s="1"/>
  <c r="J17" i="56"/>
  <c r="M17" i="56" s="1"/>
  <c r="D18" i="56"/>
  <c r="E18" i="56"/>
  <c r="F18" i="56"/>
  <c r="F19" i="56" s="1"/>
  <c r="G18" i="56"/>
  <c r="G19" i="56" s="1"/>
  <c r="D19" i="56"/>
  <c r="I19" i="56"/>
  <c r="J21" i="56"/>
  <c r="M21" i="56" s="1"/>
  <c r="J22" i="56"/>
  <c r="J23" i="56"/>
  <c r="M23" i="56" s="1"/>
  <c r="J24" i="56"/>
  <c r="M24" i="56"/>
  <c r="J25" i="56"/>
  <c r="M25" i="56" s="1"/>
  <c r="D26" i="56"/>
  <c r="J26" i="56" s="1"/>
  <c r="M26" i="56" s="1"/>
  <c r="O26" i="56" s="1"/>
  <c r="J27" i="56"/>
  <c r="M27" i="56" s="1"/>
  <c r="E28" i="56"/>
  <c r="F28" i="56"/>
  <c r="G28" i="56"/>
  <c r="H28" i="56"/>
  <c r="I28" i="56"/>
  <c r="J31" i="56"/>
  <c r="J32" i="56"/>
  <c r="J33" i="56"/>
  <c r="M33" i="56" s="1"/>
  <c r="J34" i="56"/>
  <c r="M34" i="56" s="1"/>
  <c r="J35" i="56"/>
  <c r="M35" i="56" s="1"/>
  <c r="E36" i="56"/>
  <c r="F36" i="56"/>
  <c r="J37" i="56"/>
  <c r="M37" i="56" s="1"/>
  <c r="D38" i="56"/>
  <c r="D40" i="56" s="1"/>
  <c r="E38" i="56"/>
  <c r="E39" i="56"/>
  <c r="F39" i="56"/>
  <c r="G39" i="56"/>
  <c r="H40" i="56"/>
  <c r="I40" i="56"/>
  <c r="J42" i="56"/>
  <c r="M42" i="56" s="1"/>
  <c r="J43" i="56"/>
  <c r="D44" i="56"/>
  <c r="E44" i="56"/>
  <c r="F44" i="56"/>
  <c r="G44" i="56"/>
  <c r="H44" i="56"/>
  <c r="H45" i="56" s="1"/>
  <c r="I44" i="56"/>
  <c r="I45" i="56" s="1"/>
  <c r="J47" i="56"/>
  <c r="J48" i="56"/>
  <c r="L48" i="56"/>
  <c r="D49" i="56"/>
  <c r="J49" i="56" s="1"/>
  <c r="M49" i="56" s="1"/>
  <c r="J50" i="56"/>
  <c r="D51" i="56"/>
  <c r="J51" i="56" s="1"/>
  <c r="L51" i="56"/>
  <c r="J54" i="56"/>
  <c r="M54" i="56" s="1"/>
  <c r="J55" i="56"/>
  <c r="M55" i="56" s="1"/>
  <c r="E58" i="56"/>
  <c r="F58" i="56"/>
  <c r="L60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O74" i="56" s="1"/>
  <c r="J75" i="56"/>
  <c r="M75" i="56"/>
  <c r="D76" i="56"/>
  <c r="E76" i="56"/>
  <c r="F76" i="56"/>
  <c r="G76" i="56"/>
  <c r="H76" i="56"/>
  <c r="I76" i="56"/>
  <c r="M77" i="56"/>
  <c r="E78" i="56"/>
  <c r="F79" i="56"/>
  <c r="F82" i="56" s="1"/>
  <c r="G79" i="56"/>
  <c r="L79" i="56"/>
  <c r="L89" i="56" s="1"/>
  <c r="L56" i="56" s="1"/>
  <c r="J80" i="56"/>
  <c r="M80" i="56" s="1"/>
  <c r="J81" i="56"/>
  <c r="M81" i="56" s="1"/>
  <c r="D82" i="56"/>
  <c r="H82" i="56"/>
  <c r="I82" i="56"/>
  <c r="I84" i="56" s="1"/>
  <c r="I87" i="56" s="1"/>
  <c r="I89" i="56" s="1"/>
  <c r="I56" i="56" s="1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G63" i="47"/>
  <c r="I63" i="47"/>
  <c r="K63" i="47"/>
  <c r="M63" i="47"/>
  <c r="A3" i="48"/>
  <c r="A4" i="48"/>
  <c r="R13" i="48"/>
  <c r="R15" i="48"/>
  <c r="R16" i="48"/>
  <c r="R17" i="48"/>
  <c r="D20" i="48"/>
  <c r="F20" i="48"/>
  <c r="H20" i="48"/>
  <c r="J20" i="48"/>
  <c r="L20" i="48"/>
  <c r="P20" i="48"/>
  <c r="R22" i="48"/>
  <c r="R24" i="48"/>
  <c r="N25" i="48"/>
  <c r="D30" i="48"/>
  <c r="F30" i="48"/>
  <c r="H30" i="48"/>
  <c r="J114" i="50" s="1"/>
  <c r="J30" i="48"/>
  <c r="V14" i="49"/>
  <c r="V16" i="49"/>
  <c r="X16" i="49" s="1"/>
  <c r="AB16" i="49" s="1"/>
  <c r="N17" i="49"/>
  <c r="V17" i="49"/>
  <c r="D22" i="49"/>
  <c r="F22" i="49"/>
  <c r="H22" i="49"/>
  <c r="J22" i="49"/>
  <c r="L22" i="49"/>
  <c r="P22" i="49"/>
  <c r="T22" i="49"/>
  <c r="Z22" i="49"/>
  <c r="V24" i="49"/>
  <c r="P28" i="49"/>
  <c r="P34" i="49" s="1"/>
  <c r="D34" i="49"/>
  <c r="F34" i="49"/>
  <c r="H34" i="49"/>
  <c r="F114" i="50" s="1"/>
  <c r="J34" i="49"/>
  <c r="L34" i="49"/>
  <c r="F116" i="50" s="1"/>
  <c r="T34" i="49"/>
  <c r="J10" i="58"/>
  <c r="J64" i="58" s="1"/>
  <c r="L64" i="58"/>
  <c r="F22" i="58"/>
  <c r="H22" i="58"/>
  <c r="J22" i="58"/>
  <c r="L22" i="58"/>
  <c r="F31" i="58"/>
  <c r="H31" i="58"/>
  <c r="J31" i="58"/>
  <c r="L31" i="58"/>
  <c r="A57" i="58"/>
  <c r="A59" i="58"/>
  <c r="F64" i="58"/>
  <c r="H64" i="58"/>
  <c r="F78" i="58"/>
  <c r="H78" i="58"/>
  <c r="J78" i="58"/>
  <c r="L78" i="58"/>
  <c r="F84" i="58"/>
  <c r="H84" i="58"/>
  <c r="J84" i="58"/>
  <c r="L84" i="58"/>
  <c r="J8" i="50"/>
  <c r="J56" i="50" s="1"/>
  <c r="J105" i="50" s="1"/>
  <c r="L8" i="50"/>
  <c r="L56" i="50" s="1"/>
  <c r="L105" i="50" s="1"/>
  <c r="F26" i="50"/>
  <c r="H26" i="50"/>
  <c r="J26" i="50"/>
  <c r="L26" i="50"/>
  <c r="F39" i="50"/>
  <c r="H39" i="50"/>
  <c r="J39" i="50"/>
  <c r="L39" i="50"/>
  <c r="A53" i="50"/>
  <c r="F56" i="50"/>
  <c r="F105" i="50" s="1"/>
  <c r="H56" i="50"/>
  <c r="H105" i="50" s="1"/>
  <c r="F75" i="50"/>
  <c r="H75" i="50"/>
  <c r="J75" i="50"/>
  <c r="J83" i="50" s="1"/>
  <c r="L75" i="50"/>
  <c r="A102" i="50"/>
  <c r="H119" i="50"/>
  <c r="H121" i="50" s="1"/>
  <c r="L119" i="50"/>
  <c r="L121" i="50" s="1"/>
  <c r="M32" i="56"/>
  <c r="G82" i="56"/>
  <c r="L30" i="48"/>
  <c r="J116" i="50"/>
  <c r="R22" i="49"/>
  <c r="V19" i="49"/>
  <c r="E19" i="56" l="1"/>
  <c r="G17" i="57"/>
  <c r="AB29" i="49"/>
  <c r="G12" i="57"/>
  <c r="M71" i="56"/>
  <c r="M47" i="56"/>
  <c r="I29" i="56"/>
  <c r="V31" i="49"/>
  <c r="X31" i="49" s="1"/>
  <c r="AB31" i="49" s="1"/>
  <c r="J39" i="56"/>
  <c r="M39" i="56" s="1"/>
  <c r="O39" i="56" s="1"/>
  <c r="F29" i="56"/>
  <c r="L40" i="50"/>
  <c r="F133" i="58"/>
  <c r="F135" i="58" s="1"/>
  <c r="F166" i="58" s="1"/>
  <c r="F175" i="58" s="1"/>
  <c r="F178" i="58" s="1"/>
  <c r="F180" i="58" s="1"/>
  <c r="H40" i="50"/>
  <c r="X17" i="49"/>
  <c r="AB17" i="49" s="1"/>
  <c r="H133" i="58"/>
  <c r="H135" i="58" s="1"/>
  <c r="H166" i="58" s="1"/>
  <c r="H175" i="58" s="1"/>
  <c r="H178" i="58" s="1"/>
  <c r="H180" i="58" s="1"/>
  <c r="L133" i="58"/>
  <c r="L135" i="58" s="1"/>
  <c r="L166" i="58" s="1"/>
  <c r="L175" i="58" s="1"/>
  <c r="L178" i="58" s="1"/>
  <c r="L180" i="58" s="1"/>
  <c r="L33" i="58"/>
  <c r="L35" i="58" s="1"/>
  <c r="M12" i="47" s="1"/>
  <c r="M25" i="47" s="1"/>
  <c r="M41" i="47" s="1"/>
  <c r="M44" i="47" s="1"/>
  <c r="M73" i="47" s="1"/>
  <c r="M75" i="47" s="1"/>
  <c r="M100" i="47" s="1"/>
  <c r="J133" i="58"/>
  <c r="J135" i="58" s="1"/>
  <c r="J138" i="58" s="1"/>
  <c r="J140" i="58" s="1"/>
  <c r="F83" i="50"/>
  <c r="J40" i="50"/>
  <c r="L83" i="50"/>
  <c r="L122" i="50" s="1"/>
  <c r="H33" i="58"/>
  <c r="H35" i="58" s="1"/>
  <c r="H38" i="58" s="1"/>
  <c r="J36" i="56"/>
  <c r="M36" i="56" s="1"/>
  <c r="H83" i="50"/>
  <c r="H122" i="50" s="1"/>
  <c r="H141" i="50" s="1"/>
  <c r="P30" i="48"/>
  <c r="J118" i="50" s="1"/>
  <c r="F84" i="56"/>
  <c r="F87" i="56" s="1"/>
  <c r="F89" i="56" s="1"/>
  <c r="F56" i="56" s="1"/>
  <c r="F59" i="56" s="1"/>
  <c r="F65" i="56" s="1"/>
  <c r="H84" i="56"/>
  <c r="H87" i="56" s="1"/>
  <c r="H89" i="56" s="1"/>
  <c r="H56" i="56" s="1"/>
  <c r="H59" i="56" s="1"/>
  <c r="H65" i="56" s="1"/>
  <c r="H66" i="56" s="1"/>
  <c r="H67" i="56" s="1"/>
  <c r="D84" i="56"/>
  <c r="D87" i="56" s="1"/>
  <c r="D89" i="56" s="1"/>
  <c r="D56" i="56" s="1"/>
  <c r="D59" i="56" s="1"/>
  <c r="D65" i="56" s="1"/>
  <c r="J38" i="56"/>
  <c r="M38" i="56" s="1"/>
  <c r="G29" i="56"/>
  <c r="H19" i="56"/>
  <c r="H29" i="56" s="1"/>
  <c r="M76" i="56"/>
  <c r="O76" i="56" s="1"/>
  <c r="F40" i="56"/>
  <c r="F45" i="56" s="1"/>
  <c r="J33" i="58"/>
  <c r="J35" i="58" s="1"/>
  <c r="J38" i="58" s="1"/>
  <c r="J44" i="56"/>
  <c r="G40" i="56"/>
  <c r="G45" i="56" s="1"/>
  <c r="D28" i="56"/>
  <c r="D29" i="56" s="1"/>
  <c r="F33" i="58"/>
  <c r="F35" i="58" s="1"/>
  <c r="G12" i="47" s="1"/>
  <c r="G25" i="47" s="1"/>
  <c r="G41" i="47" s="1"/>
  <c r="G44" i="47" s="1"/>
  <c r="G73" i="47" s="1"/>
  <c r="G75" i="47" s="1"/>
  <c r="G100" i="47" s="1"/>
  <c r="F22" i="57"/>
  <c r="F23" i="57" s="1"/>
  <c r="G84" i="56"/>
  <c r="G87" i="56" s="1"/>
  <c r="G89" i="56" s="1"/>
  <c r="G56" i="56" s="1"/>
  <c r="G58" i="56" s="1"/>
  <c r="M51" i="56"/>
  <c r="D45" i="56"/>
  <c r="E40" i="56"/>
  <c r="E45" i="56" s="1"/>
  <c r="E29" i="56"/>
  <c r="G16" i="57"/>
  <c r="C45" i="57" s="1"/>
  <c r="X24" i="49"/>
  <c r="I59" i="56"/>
  <c r="I65" i="56" s="1"/>
  <c r="I66" i="56" s="1"/>
  <c r="I67" i="56" s="1"/>
  <c r="M22" i="56"/>
  <c r="J28" i="56"/>
  <c r="M6" i="56"/>
  <c r="O71" i="56"/>
  <c r="V28" i="49"/>
  <c r="G19" i="57"/>
  <c r="G14" i="57"/>
  <c r="M60" i="56"/>
  <c r="M28" i="56"/>
  <c r="J18" i="56"/>
  <c r="M18" i="56" s="1"/>
  <c r="O18" i="56" s="1"/>
  <c r="F40" i="50"/>
  <c r="J78" i="56"/>
  <c r="E79" i="56"/>
  <c r="J79" i="56" s="1"/>
  <c r="M79" i="56" s="1"/>
  <c r="O79" i="56" s="1"/>
  <c r="J76" i="56"/>
  <c r="X14" i="49"/>
  <c r="V22" i="49"/>
  <c r="R25" i="48"/>
  <c r="E11" i="57"/>
  <c r="E22" i="57"/>
  <c r="E23" i="57" s="1"/>
  <c r="M50" i="56"/>
  <c r="P50" i="56" s="1"/>
  <c r="M31" i="56"/>
  <c r="M40" i="56" s="1"/>
  <c r="M43" i="56"/>
  <c r="M44" i="56" s="1"/>
  <c r="D66" i="56" l="1"/>
  <c r="D67" i="56" s="1"/>
  <c r="J19" i="56"/>
  <c r="O122" i="50"/>
  <c r="F138" i="58"/>
  <c r="F140" i="58" s="1"/>
  <c r="J166" i="58"/>
  <c r="J175" i="58" s="1"/>
  <c r="J178" i="58" s="1"/>
  <c r="J180" i="58" s="1"/>
  <c r="H138" i="58"/>
  <c r="H140" i="58" s="1"/>
  <c r="L138" i="58"/>
  <c r="L140" i="58" s="1"/>
  <c r="L38" i="58"/>
  <c r="L40" i="58" s="1"/>
  <c r="L66" i="58"/>
  <c r="L80" i="58" s="1"/>
  <c r="L83" i="58" s="1"/>
  <c r="L85" i="58" s="1"/>
  <c r="J143" i="58"/>
  <c r="J147" i="58"/>
  <c r="J66" i="58"/>
  <c r="J80" i="58" s="1"/>
  <c r="J83" i="58" s="1"/>
  <c r="J85" i="58" s="1"/>
  <c r="K12" i="47"/>
  <c r="K25" i="47" s="1"/>
  <c r="K41" i="47" s="1"/>
  <c r="K44" i="47" s="1"/>
  <c r="K73" i="47" s="1"/>
  <c r="K75" i="47" s="1"/>
  <c r="K100" i="47" s="1"/>
  <c r="F38" i="58"/>
  <c r="F40" i="58" s="1"/>
  <c r="L141" i="50"/>
  <c r="S122" i="50"/>
  <c r="I12" i="47"/>
  <c r="I25" i="47" s="1"/>
  <c r="I41" i="47" s="1"/>
  <c r="I44" i="47" s="1"/>
  <c r="I73" i="47" s="1"/>
  <c r="I75" i="47" s="1"/>
  <c r="I100" i="47" s="1"/>
  <c r="H66" i="58"/>
  <c r="H80" i="58" s="1"/>
  <c r="H83" i="58" s="1"/>
  <c r="H85" i="58" s="1"/>
  <c r="G23" i="57"/>
  <c r="G27" i="57" s="1"/>
  <c r="G30" i="57" s="1"/>
  <c r="F66" i="58"/>
  <c r="F80" i="58" s="1"/>
  <c r="F83" i="58" s="1"/>
  <c r="F85" i="58" s="1"/>
  <c r="J40" i="56"/>
  <c r="J45" i="56" s="1"/>
  <c r="F66" i="56"/>
  <c r="F67" i="56" s="1"/>
  <c r="J58" i="56"/>
  <c r="G59" i="56"/>
  <c r="G65" i="56" s="1"/>
  <c r="G66" i="56" s="1"/>
  <c r="G67" i="56" s="1"/>
  <c r="L57" i="56"/>
  <c r="L67" i="56" s="1"/>
  <c r="E82" i="56"/>
  <c r="E84" i="56" s="1"/>
  <c r="E87" i="56" s="1"/>
  <c r="E89" i="56" s="1"/>
  <c r="E56" i="56" s="1"/>
  <c r="E59" i="56" s="1"/>
  <c r="E65" i="56" s="1"/>
  <c r="E66" i="56" s="1"/>
  <c r="E67" i="56" s="1"/>
  <c r="N19" i="49"/>
  <c r="H47" i="58"/>
  <c r="H40" i="58"/>
  <c r="H43" i="58"/>
  <c r="M19" i="56"/>
  <c r="M29" i="56" s="1"/>
  <c r="AB14" i="49"/>
  <c r="M45" i="56"/>
  <c r="J29" i="56"/>
  <c r="AB24" i="49"/>
  <c r="M78" i="56"/>
  <c r="J82" i="56"/>
  <c r="J84" i="56" s="1"/>
  <c r="V34" i="49"/>
  <c r="F118" i="50" s="1"/>
  <c r="J47" i="58"/>
  <c r="J43" i="58"/>
  <c r="J40" i="58"/>
  <c r="N26" i="48"/>
  <c r="M58" i="56" l="1"/>
  <c r="F143" i="58"/>
  <c r="F147" i="58"/>
  <c r="H143" i="58"/>
  <c r="H147" i="58"/>
  <c r="L143" i="58"/>
  <c r="L147" i="58"/>
  <c r="N18" i="48"/>
  <c r="R18" i="48" s="1"/>
  <c r="R20" i="48" s="1"/>
  <c r="L43" i="58"/>
  <c r="L47" i="58"/>
  <c r="F43" i="58"/>
  <c r="F47" i="58"/>
  <c r="N28" i="49"/>
  <c r="N34" i="49" s="1"/>
  <c r="F117" i="50" s="1"/>
  <c r="F119" i="50" s="1"/>
  <c r="F121" i="50" s="1"/>
  <c r="F122" i="50" s="1"/>
  <c r="J56" i="56"/>
  <c r="J59" i="56" s="1"/>
  <c r="J65" i="56" s="1"/>
  <c r="J66" i="56" s="1"/>
  <c r="J67" i="56" s="1"/>
  <c r="J87" i="56"/>
  <c r="J89" i="56" s="1"/>
  <c r="M84" i="56"/>
  <c r="M87" i="56" s="1"/>
  <c r="M89" i="56" s="1"/>
  <c r="R26" i="48"/>
  <c r="R30" i="48" s="1"/>
  <c r="N30" i="48"/>
  <c r="J117" i="50" s="1"/>
  <c r="J119" i="50" s="1"/>
  <c r="J121" i="50" s="1"/>
  <c r="J122" i="50" s="1"/>
  <c r="O78" i="56"/>
  <c r="M82" i="56"/>
  <c r="N22" i="49"/>
  <c r="X19" i="49"/>
  <c r="M56" i="56" l="1"/>
  <c r="M59" i="56" s="1"/>
  <c r="M65" i="56" s="1"/>
  <c r="M66" i="56" s="1"/>
  <c r="M67" i="56" s="1"/>
  <c r="N20" i="48"/>
  <c r="X28" i="49"/>
  <c r="AB28" i="49" s="1"/>
  <c r="AB34" i="49" s="1"/>
  <c r="M122" i="50"/>
  <c r="F141" i="50"/>
  <c r="AB19" i="49"/>
  <c r="AB22" i="49" s="1"/>
  <c r="X22" i="49"/>
  <c r="J141" i="50"/>
  <c r="Q122" i="50"/>
  <c r="X34" i="49" l="1"/>
</calcChain>
</file>

<file path=xl/comments1.xml><?xml version="1.0" encoding="utf-8"?>
<comments xmlns="http://schemas.openxmlformats.org/spreadsheetml/2006/main">
  <authors>
    <author>...</author>
  </authors>
  <commentList>
    <comment ref="H5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...</author>
  </authors>
  <commentList>
    <comment ref="M8" authorId="0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<sst xmlns="http://schemas.openxmlformats.org/spreadsheetml/2006/main" count="608" uniqueCount="384">
  <si>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</si>
  <si>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</si>
  <si>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</si>
  <si>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</si>
  <si>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</si>
  <si>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</si>
  <si>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</si>
  <si>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</si>
  <si>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</si>
  <si>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</si>
  <si>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</si>
  <si>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</si>
  <si>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</si>
  <si>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</si>
  <si>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</si>
  <si>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</si>
  <si>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</si>
  <si>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</si>
  <si>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</si>
  <si>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</si>
  <si>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</si>
  <si>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</si>
  <si>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</si>
  <si>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</si>
  <si>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</si>
  <si>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</si>
  <si>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</si>
  <si>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</si>
  <si>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</si>
  <si>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</si>
  <si>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</si>
  <si>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</si>
  <si>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</si>
  <si>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</si>
  <si>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</si>
  <si>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</si>
  <si>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</si>
  <si>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</si>
  <si>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</si>
  <si>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</si>
  <si>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</si>
  <si>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</si>
  <si>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</si>
  <si>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</si>
  <si>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</si>
  <si>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</si>
  <si>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</si>
  <si>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</si>
  <si>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</si>
  <si>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</si>
  <si>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</si>
  <si>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</si>
  <si>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</si>
  <si>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</si>
  <si>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</si>
  <si>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</si>
  <si>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</si>
  <si>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</si>
  <si>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</si>
  <si>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</si>
  <si>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</si>
  <si>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</si>
  <si>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</si>
  <si>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</si>
  <si>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</si>
  <si>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</si>
  <si>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</si>
  <si>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</si>
  <si>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</si>
  <si>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</si>
  <si>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</si>
  <si>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</si>
  <si>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</si>
  <si>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</si>
  <si>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</si>
  <si>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</si>
  <si>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</si>
  <si>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</si>
  <si>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</si>
  <si>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</si>
  <si>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</si>
  <si>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</si>
  <si>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</si>
  <si>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</si>
  <si>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</si>
  <si>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</si>
  <si>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</si>
  <si>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</si>
  <si>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</si>
  <si>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</si>
  <si>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</si>
  <si>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</si>
  <si>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</si>
  <si>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</si>
  <si>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</si>
  <si>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</si>
  <si>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</si>
  <si>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</si>
  <si>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</si>
  <si>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</si>
  <si>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</si>
  <si>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</si>
  <si>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</si>
  <si>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</si>
  <si>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</si>
  <si>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</si>
  <si>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</si>
  <si>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</si>
  <si>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</si>
  <si>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</si>
  <si>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</si>
  <si>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</si>
  <si>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</si>
  <si>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</si>
  <si>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</si>
  <si>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</si>
  <si>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</si>
  <si>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</si>
  <si>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</si>
  <si>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</si>
  <si>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</si>
  <si>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</si>
  <si>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</si>
  <si>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</si>
  <si>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</si>
  <si>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</si>
  <si>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</si>
  <si>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</si>
  <si>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</si>
  <si>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</si>
  <si>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</si>
  <si>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</si>
  <si>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</si>
  <si>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</si>
  <si>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(Unaudited/</t>
  </si>
  <si>
    <t>(Audited)</t>
  </si>
  <si>
    <t>but Reviewed)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</si>
  <si>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</si>
  <si>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</si>
  <si>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</si>
  <si>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</si>
  <si>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</si>
  <si>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</si>
  <si>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</si>
  <si>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</si>
  <si>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</si>
  <si>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</si>
  <si>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</si>
  <si>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</si>
  <si>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</si>
  <si>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</si>
  <si>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</si>
  <si>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</si>
  <si>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</si>
  <si>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</si>
  <si>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</si>
  <si>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</si>
  <si>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</si>
  <si>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</si>
  <si>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</si>
  <si>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</si>
  <si>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</si>
  <si>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</si>
  <si>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</si>
  <si>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</si>
  <si>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</si>
  <si>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</si>
  <si>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</si>
  <si>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Income tax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</si>
  <si>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</si>
  <si>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</si>
  <si>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</si>
  <si>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</si>
  <si>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</si>
  <si>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</si>
  <si>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Discount on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</si>
  <si>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</si>
  <si>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</si>
  <si>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</si>
  <si>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</si>
  <si>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</si>
  <si>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</si>
  <si>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</si>
  <si>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</si>
  <si>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</si>
  <si>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</si>
  <si>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</si>
  <si>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</si>
  <si>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</si>
  <si>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</si>
  <si>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</si>
  <si>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</si>
  <si>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</si>
  <si>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</si>
  <si>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</si>
  <si>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Others </t>
  </si>
  <si>
    <t xml:space="preserve">Investments in subsidiary companies </t>
  </si>
  <si>
    <t xml:space="preserve">    Issued and paid up</t>
  </si>
  <si>
    <t>Reversal of allowance for doubtful accounts</t>
  </si>
  <si>
    <t>Dividend paid</t>
  </si>
  <si>
    <t>CASHFLOWS  FROM  FINANCING  ACTIVITIES</t>
  </si>
  <si>
    <t>Net cash provided by (used in) financing activities</t>
  </si>
  <si>
    <t xml:space="preserve">Net cash provide by (used in) investing activities 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</si>
  <si>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</si>
  <si>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</si>
  <si>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</si>
  <si>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</si>
  <si>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</si>
  <si>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</si>
  <si>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>Unrealized gain in trading securities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</si>
  <si>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</si>
  <si>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</si>
  <si>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</si>
  <si>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</si>
  <si>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</si>
  <si>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</si>
  <si>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</si>
  <si>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 xml:space="preserve">    - Non-related companies</t>
  </si>
  <si>
    <t xml:space="preserve">    - Related  companies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</si>
  <si>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</si>
  <si>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</si>
  <si>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</si>
  <si>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</si>
  <si>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</si>
  <si>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</si>
  <si>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</si>
  <si>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</si>
  <si>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</si>
  <si>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</si>
  <si>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Purchase of property, plant and equipments</t>
  </si>
  <si>
    <t>Note</t>
  </si>
  <si>
    <t xml:space="preserve">Difference </t>
  </si>
  <si>
    <t>from change in</t>
  </si>
  <si>
    <t>to equity holders</t>
  </si>
  <si>
    <t>of parent</t>
  </si>
  <si>
    <t>The accompanying notes to interim financial statements are an integral part of these interim financial statements.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</si>
  <si>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</si>
  <si>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</si>
  <si>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</si>
  <si>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</si>
  <si>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</si>
  <si>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</si>
  <si>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</si>
  <si>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Profit (loss) for the periods</t>
  </si>
  <si>
    <t>Non</t>
  </si>
  <si>
    <t>Controlling</t>
  </si>
  <si>
    <t>(Unaudited / but reviewed)</t>
  </si>
  <si>
    <t xml:space="preserve">  Dividend paid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</si>
  <si>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</si>
  <si>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</si>
  <si>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</si>
  <si>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</si>
  <si>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</si>
  <si>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non-controlling</t>
  </si>
  <si>
    <t xml:space="preserve"> interests </t>
  </si>
  <si>
    <t>Trade accounts receivable - related parties</t>
  </si>
  <si>
    <t>Trade accounts receivable - other parties</t>
  </si>
  <si>
    <t>Trade accounts payable - related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</si>
  <si>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</si>
  <si>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</si>
  <si>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</si>
  <si>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</si>
  <si>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</si>
  <si>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Other comprehensive income (loss) for the periods, net of tax</t>
  </si>
  <si>
    <t>Total comprehensive income (loss) for the periods</t>
  </si>
  <si>
    <t>Total comprehensive income (loss) attributable to :</t>
  </si>
  <si>
    <t>Operating gain (loss) before changes in operating assets and liabilities</t>
  </si>
  <si>
    <t>Check</t>
  </si>
  <si>
    <t>Warrants</t>
  </si>
  <si>
    <t>(Unaudited / but Reviewed)</t>
  </si>
  <si>
    <t>Short - term Investment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</si>
  <si>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</si>
  <si>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</si>
  <si>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</si>
  <si>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</si>
  <si>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</si>
  <si>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</si>
  <si>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</si>
  <si>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</si>
  <si>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4.4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</si>
  <si>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</si>
  <si>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</si>
  <si>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</si>
  <si>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</si>
  <si>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</si>
  <si>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 xml:space="preserve">  Appropriated to legal reserve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</si>
  <si>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</si>
  <si>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</si>
  <si>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</si>
  <si>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</si>
  <si>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Other</t>
  </si>
  <si>
    <t>Accounts payable - Trade</t>
  </si>
  <si>
    <t xml:space="preserve">     Total equity of the parent</t>
  </si>
  <si>
    <t>Exchange differences on translation of foreign operations</t>
  </si>
  <si>
    <t xml:space="preserve">Net profit (loss) </t>
  </si>
  <si>
    <t>Employee benefits</t>
  </si>
  <si>
    <t>Income tax expense of current period</t>
  </si>
  <si>
    <t>Deferred tax (income) expense</t>
  </si>
  <si>
    <t>Other accounts payable - related parties</t>
  </si>
  <si>
    <t>Loan from related company, (increase) decrease</t>
  </si>
  <si>
    <t xml:space="preserve">   Ordinary shares increased - exercise of warrats</t>
  </si>
  <si>
    <t>actuarial assumptions</t>
  </si>
  <si>
    <t>Other components of</t>
  </si>
  <si>
    <t>Gain (loss) from estimate of</t>
  </si>
  <si>
    <t xml:space="preserve">Changes in equity </t>
  </si>
  <si>
    <t>Changes in equity</t>
  </si>
  <si>
    <t xml:space="preserve">   Transfer Gain (loss) from estimate of actuarial </t>
  </si>
  <si>
    <t xml:space="preserve">        - assumptions to Retained earnings</t>
  </si>
  <si>
    <t xml:space="preserve">   Total comprehensive income (loss) for the period</t>
  </si>
  <si>
    <t>Total comprehensive income (loss) for the period</t>
  </si>
  <si>
    <t>Unrealized loss in trading securities</t>
  </si>
  <si>
    <t xml:space="preserve">   Total comprehensive income (loss) for the period </t>
  </si>
  <si>
    <t xml:space="preserve">     Total shareholders' equity</t>
  </si>
  <si>
    <t>to profit or loss in subsequent periods :</t>
  </si>
  <si>
    <t>Other comprehensive income to be reclassified</t>
  </si>
  <si>
    <t>Investment Property</t>
  </si>
  <si>
    <t>Share capital - Baht 0.125 each</t>
  </si>
  <si>
    <t xml:space="preserve">- Ordinary share 5,647,349,128  shares </t>
  </si>
  <si>
    <t>Balance as at January 1, 2016</t>
  </si>
  <si>
    <t>CASH AND CASH EQUIVALENTS, BEGINNING OF PERIODS</t>
  </si>
  <si>
    <t>CASH AND CASH EQUIVALENTS, END OF PERIODS</t>
  </si>
  <si>
    <t>Property and equipment - net</t>
  </si>
  <si>
    <t>Ordinary shares increased - exercise of warrants</t>
  </si>
  <si>
    <t xml:space="preserve">   Share subscriptions received in advance</t>
  </si>
  <si>
    <t xml:space="preserve">received </t>
  </si>
  <si>
    <t>in advance</t>
  </si>
  <si>
    <t>Share</t>
  </si>
  <si>
    <t>subscriptions</t>
  </si>
  <si>
    <t>Gain on sales of trading securities</t>
  </si>
  <si>
    <t>Reversal of impairment on investment</t>
  </si>
  <si>
    <t>Other comprehensive income not to be reclassified</t>
  </si>
  <si>
    <t>Gain (loss) from estimate of actuarial assumptions</t>
  </si>
  <si>
    <t xml:space="preserve">   Dividend paid</t>
  </si>
  <si>
    <t xml:space="preserve">   Transfer gain(loss) from estimate of acturial</t>
  </si>
  <si>
    <t xml:space="preserve">    - assumptions to retained earnings</t>
  </si>
  <si>
    <t>Gain (loss) from</t>
  </si>
  <si>
    <t>estimate of</t>
  </si>
  <si>
    <t>actuarial</t>
  </si>
  <si>
    <t>assumptions</t>
  </si>
  <si>
    <t>Impairment on investment (reversal)</t>
  </si>
  <si>
    <t>Impairment on investment</t>
  </si>
  <si>
    <t>Other investment (increase) decrease</t>
  </si>
  <si>
    <t>December 31, 2016</t>
  </si>
  <si>
    <t>Current portion - Liabilities under financial lease contract</t>
  </si>
  <si>
    <t>Liabilities under financial lease contract</t>
  </si>
  <si>
    <t>Deferred tax liabilities</t>
  </si>
  <si>
    <t xml:space="preserve">- Ordinary share 5,637,604,866  shares </t>
  </si>
  <si>
    <t>Premium on  share capital</t>
  </si>
  <si>
    <t>Gain on change of investment</t>
  </si>
  <si>
    <t>Income tax in other component of shareholders's equity</t>
  </si>
  <si>
    <t>Balance as at January 1, 2017</t>
  </si>
  <si>
    <t>Premium on</t>
  </si>
  <si>
    <t>12, 13</t>
  </si>
  <si>
    <t>Gain on change investment</t>
  </si>
  <si>
    <t>Dividend received from other company</t>
  </si>
  <si>
    <t>Trade accounts payable - other parties</t>
  </si>
  <si>
    <t>Other non-current liabilities</t>
  </si>
  <si>
    <t>12</t>
  </si>
  <si>
    <t>Paid liabilities under financial lease contract</t>
  </si>
  <si>
    <t xml:space="preserve">   Difference from change in non-controlling interests</t>
  </si>
  <si>
    <t>OPERATING AND INVESTMENT  ACTIVITIES NOT AFFECTING CASH</t>
  </si>
  <si>
    <t>Decrease in loan from subsidiary company</t>
  </si>
  <si>
    <t>Decrease in other receivable - related party , advance from subsidiary</t>
  </si>
  <si>
    <t>Decrease in other payable - related party, accrued interest to subsidiary</t>
  </si>
  <si>
    <t xml:space="preserve">Cash paid to non-controlling interest of subsidiary  for capital reduction  </t>
  </si>
  <si>
    <t xml:space="preserve">Decrease in investment on subsidiaries </t>
  </si>
  <si>
    <t>AS AT SEPTEMBER 30, 2017</t>
  </si>
  <si>
    <t>September 30, 2017</t>
  </si>
  <si>
    <t>FOR  THE  NINE-MONTH PERIOD ENDED SEPTEMBER 30,  2017</t>
  </si>
  <si>
    <t>For the nine-month period ended September 30</t>
  </si>
  <si>
    <t>FOR  THE  THREE-MONTH PERIOD ENDED SEPTEMBER 30,  2017</t>
  </si>
  <si>
    <t>For the three-month period ended September 30</t>
  </si>
  <si>
    <t>FOR THE NINE-MONTH PERIOD ENDED SEPTEMBER 30, 2017</t>
  </si>
  <si>
    <t>Balance as at September 30, 2016</t>
  </si>
  <si>
    <t>Balance as at  September 30, 2017</t>
  </si>
  <si>
    <t>Loans - Long term</t>
  </si>
  <si>
    <t>7 , 11</t>
  </si>
  <si>
    <t>9 , 10</t>
  </si>
  <si>
    <t>9 (1)</t>
  </si>
  <si>
    <t>Investment in right to purchase shares</t>
  </si>
  <si>
    <t>Loss on subsidiaries's liquidation</t>
  </si>
  <si>
    <t>Short-term loan from financial institution, (increase) decrease</t>
  </si>
  <si>
    <t>Short-term loan from Financial Institution</t>
  </si>
  <si>
    <t>Cash from subsidiary's liquidation (increase)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</si>
</sst>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23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2"/>
      <color indexed="8"/>
      <name val="Angsana New"/>
      <family val="1"/>
    </font>
    <font>
      <i/>
      <sz val="12"/>
      <name val="Angsana New"/>
      <family val="1"/>
    </font>
    <font>
      <b/>
      <sz val="12"/>
      <name val="Angsana New"/>
      <family val="1"/>
    </font>
    <font>
      <sz val="13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0" fontId="1" fillId="0" borderId="0"/>
  </cellStyleXfs>
  <cellXfs count="230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4" fontId="3" fillId="0" borderId="0" xfId="1" applyNumberFormat="1" applyFont="1" applyFill="1"/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166" fontId="15" fillId="0" borderId="0" xfId="1" applyNumberFormat="1" applyFont="1" applyFill="1" applyAlignment="1">
      <alignment horizontal="left"/>
    </xf>
    <xf numFmtId="166" fontId="15" fillId="0" borderId="0" xfId="1" applyNumberFormat="1" applyFont="1" applyFill="1" applyAlignment="1">
      <alignment horizontal="center"/>
    </xf>
    <xf numFmtId="166" fontId="15" fillId="0" borderId="0" xfId="0" applyNumberFormat="1" applyFont="1" applyFill="1" applyBorder="1"/>
    <xf numFmtId="166" fontId="15" fillId="0" borderId="0" xfId="1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/>
    <xf numFmtId="167" fontId="15" fillId="0" borderId="0" xfId="0" applyNumberFormat="1" applyFont="1" applyFill="1"/>
    <xf numFmtId="0" fontId="15" fillId="0" borderId="0" xfId="0" applyFont="1" applyFill="1"/>
    <xf numFmtId="166" fontId="15" fillId="0" borderId="0" xfId="1" applyNumberFormat="1" applyFont="1" applyFill="1" applyBorder="1"/>
    <xf numFmtId="166" fontId="15" fillId="0" borderId="5" xfId="1" quotePrefix="1" applyNumberFormat="1" applyFont="1" applyFill="1" applyBorder="1" applyAlignment="1">
      <alignment horizontal="left"/>
    </xf>
    <xf numFmtId="166" fontId="15" fillId="0" borderId="5" xfId="1" applyNumberFormat="1" applyFont="1" applyFill="1" applyBorder="1" applyAlignment="1">
      <alignment horizontal="center"/>
    </xf>
    <xf numFmtId="166" fontId="15" fillId="0" borderId="5" xfId="0" applyNumberFormat="1" applyFont="1" applyFill="1" applyBorder="1"/>
    <xf numFmtId="166" fontId="15" fillId="0" borderId="5" xfId="1" applyNumberFormat="1" applyFont="1" applyFill="1" applyBorder="1"/>
    <xf numFmtId="167" fontId="15" fillId="0" borderId="5" xfId="0" applyNumberFormat="1" applyFont="1" applyFill="1" applyBorder="1"/>
    <xf numFmtId="166" fontId="15" fillId="0" borderId="0" xfId="1" quotePrefix="1" applyNumberFormat="1" applyFont="1" applyFill="1" applyBorder="1" applyAlignment="1">
      <alignment horizontal="left"/>
    </xf>
    <xf numFmtId="166" fontId="15" fillId="0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166" fontId="15" fillId="0" borderId="5" xfId="1" applyNumberFormat="1" applyFont="1" applyFill="1" applyBorder="1" applyAlignment="1">
      <alignment horizontal="center" vertical="top" wrapText="1"/>
    </xf>
    <xf numFmtId="167" fontId="15" fillId="0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66" fontId="15" fillId="0" borderId="0" xfId="1" applyNumberFormat="1" applyFont="1" applyFill="1" applyBorder="1" applyAlignment="1">
      <alignment horizontal="center" vertical="top" wrapText="1"/>
    </xf>
    <xf numFmtId="167" fontId="15" fillId="0" borderId="0" xfId="0" applyNumberFormat="1" applyFont="1" applyFill="1" applyBorder="1" applyAlignment="1">
      <alignment horizontal="center"/>
    </xf>
    <xf numFmtId="173" fontId="15" fillId="0" borderId="0" xfId="0" applyNumberFormat="1" applyFont="1" applyFill="1" applyBorder="1" applyAlignment="1">
      <alignment horizontal="right"/>
    </xf>
    <xf numFmtId="166" fontId="15" fillId="0" borderId="0" xfId="1" applyNumberFormat="1" applyFont="1" applyFill="1"/>
    <xf numFmtId="0" fontId="15" fillId="0" borderId="5" xfId="0" applyFont="1" applyFill="1" applyBorder="1"/>
    <xf numFmtId="167" fontId="15" fillId="0" borderId="0" xfId="0" quotePrefix="1" applyNumberFormat="1" applyFont="1" applyFill="1" applyBorder="1"/>
    <xf numFmtId="166" fontId="15" fillId="0" borderId="9" xfId="1" applyNumberFormat="1" applyFont="1" applyFill="1" applyBorder="1"/>
    <xf numFmtId="166" fontId="15" fillId="0" borderId="13" xfId="0" applyNumberFormat="1" applyFont="1" applyFill="1" applyBorder="1"/>
    <xf numFmtId="166" fontId="15" fillId="0" borderId="13" xfId="1" applyNumberFormat="1" applyFont="1" applyFill="1" applyBorder="1"/>
    <xf numFmtId="166" fontId="15" fillId="0" borderId="6" xfId="0" applyNumberFormat="1" applyFont="1" applyFill="1" applyBorder="1"/>
    <xf numFmtId="167" fontId="15" fillId="0" borderId="0" xfId="0" applyNumberFormat="1" applyFont="1" applyFill="1" applyBorder="1"/>
    <xf numFmtId="0" fontId="15" fillId="0" borderId="10" xfId="0" applyFont="1" applyFill="1" applyBorder="1"/>
    <xf numFmtId="166" fontId="15" fillId="0" borderId="7" xfId="1" applyNumberFormat="1" applyFont="1" applyFill="1" applyBorder="1"/>
    <xf numFmtId="166" fontId="15" fillId="0" borderId="10" xfId="0" applyNumberFormat="1" applyFont="1" applyFill="1" applyBorder="1"/>
    <xf numFmtId="0" fontId="15" fillId="0" borderId="1" xfId="0" applyFont="1" applyFill="1" applyBorder="1"/>
    <xf numFmtId="166" fontId="15" fillId="0" borderId="3" xfId="1" applyNumberFormat="1" applyFont="1" applyFill="1" applyBorder="1"/>
    <xf numFmtId="0" fontId="16" fillId="0" borderId="0" xfId="0" applyFont="1" applyFill="1"/>
    <xf numFmtId="166" fontId="15" fillId="7" borderId="0" xfId="0" applyNumberFormat="1" applyFont="1" applyFill="1"/>
    <xf numFmtId="166" fontId="15" fillId="7" borderId="4" xfId="0" applyNumberFormat="1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167" fontId="15" fillId="0" borderId="0" xfId="1" applyNumberFormat="1" applyFont="1" applyFill="1" applyBorder="1"/>
    <xf numFmtId="0" fontId="15" fillId="0" borderId="0" xfId="0" quotePrefix="1" applyFont="1" applyFill="1" applyBorder="1"/>
    <xf numFmtId="0" fontId="18" fillId="0" borderId="0" xfId="0" quotePrefix="1" applyFont="1" applyFill="1" applyBorder="1"/>
    <xf numFmtId="166" fontId="15" fillId="0" borderId="0" xfId="1" applyNumberFormat="1" applyFont="1" applyFill="1" applyBorder="1" applyAlignment="1">
      <alignment horizontal="right"/>
    </xf>
    <xf numFmtId="166" fontId="15" fillId="4" borderId="0" xfId="1" applyNumberFormat="1" applyFont="1" applyFill="1" applyBorder="1"/>
    <xf numFmtId="167" fontId="15" fillId="0" borderId="0" xfId="0" applyNumberFormat="1" applyFont="1" applyFill="1" applyBorder="1" applyAlignment="1">
      <alignment horizontal="right"/>
    </xf>
    <xf numFmtId="166" fontId="15" fillId="5" borderId="0" xfId="1" applyNumberFormat="1" applyFont="1" applyFill="1" applyBorder="1"/>
    <xf numFmtId="166" fontId="15" fillId="0" borderId="0" xfId="0" applyNumberFormat="1" applyFont="1" applyFill="1" applyBorder="1" applyAlignment="1">
      <alignment horizontal="right"/>
    </xf>
    <xf numFmtId="166" fontId="15" fillId="0" borderId="0" xfId="1" applyNumberFormat="1" applyFont="1" applyFill="1" applyBorder="1" applyAlignment="1">
      <alignment horizontal="left"/>
    </xf>
    <xf numFmtId="38" fontId="3" fillId="0" borderId="0" xfId="0" applyNumberFormat="1" applyFont="1" applyFill="1" applyAlignment="1"/>
    <xf numFmtId="38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3" fontId="3" fillId="0" borderId="0" xfId="0" applyNumberFormat="1" applyFont="1" applyFill="1"/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3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3" fillId="0" borderId="3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165" fontId="3" fillId="0" borderId="15" xfId="1" applyNumberFormat="1" applyFont="1" applyFill="1" applyBorder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9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/>
    </xf>
    <xf numFmtId="43" fontId="20" fillId="0" borderId="0" xfId="1" applyNumberFormat="1" applyFont="1" applyFill="1" applyAlignment="1">
      <alignment horizontal="right"/>
    </xf>
    <xf numFmtId="43" fontId="20" fillId="0" borderId="0" xfId="0" applyNumberFormat="1" applyFont="1" applyFill="1" applyAlignment="1">
      <alignment horizontal="right"/>
    </xf>
    <xf numFmtId="43" fontId="20" fillId="0" borderId="0" xfId="0" applyNumberFormat="1" applyFont="1" applyFill="1"/>
    <xf numFmtId="43" fontId="20" fillId="0" borderId="0" xfId="1" applyNumberFormat="1" applyFont="1" applyFill="1" applyBorder="1"/>
    <xf numFmtId="0" fontId="3" fillId="0" borderId="5" xfId="0" applyNumberFormat="1" applyFont="1" applyFill="1" applyBorder="1" applyAlignment="1">
      <alignment horizontal="center"/>
    </xf>
    <xf numFmtId="0" fontId="3" fillId="0" borderId="3" xfId="0" quotePrefix="1" applyNumberFormat="1" applyFont="1" applyFill="1" applyBorder="1" applyAlignment="1">
      <alignment horizontal="center"/>
    </xf>
    <xf numFmtId="0" fontId="3" fillId="0" borderId="0" xfId="0" quotePrefix="1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Border="1"/>
    <xf numFmtId="166" fontId="21" fillId="0" borderId="0" xfId="0" applyNumberFormat="1" applyFont="1" applyFill="1"/>
    <xf numFmtId="174" fontId="3" fillId="0" borderId="0" xfId="1" applyNumberFormat="1" applyFont="1" applyFill="1" applyBorder="1"/>
    <xf numFmtId="175" fontId="3" fillId="0" borderId="0" xfId="1" applyNumberFormat="1" applyFont="1" applyFill="1" applyBorder="1"/>
    <xf numFmtId="0" fontId="3" fillId="0" borderId="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/>
    <xf numFmtId="0" fontId="3" fillId="0" borderId="0" xfId="0" applyFont="1" applyFill="1" applyAlignment="1" applyProtection="1">
      <alignment horizontal="left"/>
    </xf>
    <xf numFmtId="176" fontId="3" fillId="0" borderId="14" xfId="1" applyNumberFormat="1" applyFont="1" applyFill="1" applyBorder="1"/>
    <xf numFmtId="176" fontId="3" fillId="0" borderId="0" xfId="0" applyNumberFormat="1" applyFont="1" applyFill="1"/>
    <xf numFmtId="0" fontId="7" fillId="0" borderId="0" xfId="0" applyFont="1" applyFill="1"/>
    <xf numFmtId="0" fontId="3" fillId="0" borderId="0" xfId="11" applyFont="1" applyFill="1" applyAlignment="1">
      <alignment horizontal="center"/>
    </xf>
    <xf numFmtId="0" fontId="3" fillId="0" borderId="0" xfId="11" applyNumberFormat="1" applyFont="1" applyFill="1" applyAlignment="1">
      <alignment horizontal="center"/>
    </xf>
    <xf numFmtId="166" fontId="7" fillId="0" borderId="0" xfId="11" applyNumberFormat="1" applyFont="1" applyFill="1"/>
    <xf numFmtId="49" fontId="3" fillId="0" borderId="0" xfId="11" applyNumberFormat="1" applyFont="1" applyFill="1" applyAlignment="1">
      <alignment horizontal="center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166" fontId="3" fillId="0" borderId="0" xfId="11" applyNumberFormat="1" applyFont="1" applyFill="1" applyAlignment="1">
      <alignment horizontal="center"/>
    </xf>
    <xf numFmtId="166" fontId="22" fillId="0" borderId="0" xfId="11" applyNumberFormat="1" applyFont="1" applyFill="1"/>
    <xf numFmtId="167" fontId="3" fillId="0" borderId="0" xfId="11" applyNumberFormat="1" applyFont="1" applyFill="1" applyBorder="1"/>
    <xf numFmtId="166" fontId="3" fillId="0" borderId="0" xfId="11" applyNumberFormat="1" applyFont="1" applyFill="1"/>
    <xf numFmtId="0" fontId="1" fillId="0" borderId="0" xfId="11" applyFill="1"/>
    <xf numFmtId="166" fontId="3" fillId="0" borderId="0" xfId="1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6" fontId="7" fillId="0" borderId="3" xfId="0" applyNumberFormat="1" applyFont="1" applyFill="1" applyBorder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/>
    <cellStyle name="Currency1" xfId="3"/>
    <cellStyle name="Dollar (zero dec)" xfId="4"/>
    <cellStyle name="Grey" xfId="5"/>
    <cellStyle name="Input [yellow]" xfId="6"/>
    <cellStyle name="no dec" xfId="7"/>
    <cellStyle name="Normal" xfId="0" builtinId="0"/>
    <cellStyle name="Normal - Style1" xfId="8"/>
    <cellStyle name="Normal 2" xfId="11"/>
    <cellStyle name="Percent [2]" xfId="9"/>
    <cellStyle name="Quantity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141"/>
  <sheetViews>
    <sheetView tabSelected="1" view="pageBreakPreview" zoomScale="120" zoomScaleNormal="100" zoomScaleSheetLayoutView="120" workbookViewId="0">
      <selection activeCell="A10" sqref="A10:C10"/>
    </sheetView>
  </sheetViews>
  <sheetFormatPr defaultRowHeight="18" x14ac:dyDescent="0.4"/>
  <cols>
    <col min="1" max="2" width="2.7109375" style="7" customWidth="1"/>
    <col min="3" max="3" width="33.85546875" style="7" customWidth="1"/>
    <col min="4" max="4" width="5.42578125" style="207" customWidth="1"/>
    <col min="5" max="5" width="0.85546875" style="207" customWidth="1"/>
    <col min="6" max="6" width="13.7109375" style="207" customWidth="1"/>
    <col min="7" max="7" width="0.7109375" style="207" customWidth="1"/>
    <col min="8" max="8" width="13.85546875" style="207" customWidth="1"/>
    <col min="9" max="9" width="0.85546875" style="7" customWidth="1"/>
    <col min="10" max="10" width="13.42578125" style="9" customWidth="1"/>
    <col min="11" max="11" width="0.7109375" style="9" customWidth="1"/>
    <col min="12" max="12" width="13.85546875" style="9" customWidth="1"/>
    <col min="13" max="13" width="15.7109375" style="7" hidden="1" customWidth="1"/>
    <col min="14" max="14" width="2.7109375" style="7" hidden="1" customWidth="1"/>
    <col min="15" max="15" width="13.85546875" style="7" hidden="1" customWidth="1"/>
    <col min="16" max="16" width="2.7109375" style="7" hidden="1" customWidth="1"/>
    <col min="17" max="17" width="14.5703125" style="7" hidden="1" customWidth="1"/>
    <col min="18" max="18" width="5" style="7" hidden="1" customWidth="1"/>
    <col min="19" max="19" width="0" style="7" hidden="1" customWidth="1"/>
    <col min="20" max="16384" width="9.140625" style="7"/>
  </cols>
  <sheetData>
    <row r="1" spans="1:16" x14ac:dyDescent="0.4">
      <c r="A1" s="7" t="s">
        <v>205</v>
      </c>
    </row>
    <row r="3" spans="1:16" x14ac:dyDescent="0.4">
      <c r="A3" s="220" t="s">
        <v>131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4" spans="1:16" ht="21.75" customHeight="1" x14ac:dyDescent="0.4">
      <c r="A4" s="215" t="s">
        <v>259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</row>
    <row r="5" spans="1:16" ht="21.75" customHeight="1" x14ac:dyDescent="0.4">
      <c r="A5" s="215" t="s">
        <v>366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</row>
    <row r="6" spans="1:16" ht="21.75" customHeight="1" x14ac:dyDescent="0.4">
      <c r="A6" s="207"/>
      <c r="B6" s="207"/>
      <c r="C6" s="207"/>
      <c r="F6" s="216" t="s">
        <v>132</v>
      </c>
      <c r="G6" s="216"/>
      <c r="H6" s="216"/>
      <c r="I6" s="216"/>
      <c r="J6" s="216"/>
      <c r="K6" s="216"/>
      <c r="L6" s="216"/>
    </row>
    <row r="7" spans="1:16" x14ac:dyDescent="0.4">
      <c r="F7" s="217" t="s">
        <v>211</v>
      </c>
      <c r="G7" s="217"/>
      <c r="H7" s="217"/>
      <c r="J7" s="217" t="s">
        <v>212</v>
      </c>
      <c r="K7" s="217"/>
      <c r="L7" s="217"/>
    </row>
    <row r="8" spans="1:16" x14ac:dyDescent="0.4">
      <c r="D8" s="178" t="s">
        <v>133</v>
      </c>
      <c r="E8" s="27"/>
      <c r="F8" s="179" t="s">
        <v>367</v>
      </c>
      <c r="G8" s="180"/>
      <c r="H8" s="179" t="s">
        <v>342</v>
      </c>
      <c r="J8" s="181" t="str">
        <f>F8</f>
        <v>September 30, 2017</v>
      </c>
      <c r="K8" s="182"/>
      <c r="L8" s="181" t="str">
        <f>H8</f>
        <v>December 31, 2016</v>
      </c>
    </row>
    <row r="9" spans="1:16" s="207" customFormat="1" ht="18" customHeight="1" x14ac:dyDescent="0.4">
      <c r="D9" s="27"/>
      <c r="E9" s="27"/>
      <c r="F9" s="209" t="s">
        <v>134</v>
      </c>
      <c r="G9" s="209"/>
      <c r="H9" s="35" t="s">
        <v>135</v>
      </c>
      <c r="I9" s="13"/>
      <c r="J9" s="209" t="s">
        <v>134</v>
      </c>
      <c r="K9" s="209"/>
      <c r="L9" s="35" t="s">
        <v>135</v>
      </c>
    </row>
    <row r="10" spans="1:16" ht="18" customHeight="1" x14ac:dyDescent="0.4">
      <c r="A10" s="218" t="s">
        <v>139</v>
      </c>
      <c r="B10" s="218"/>
      <c r="C10" s="218"/>
      <c r="D10" s="27"/>
      <c r="E10" s="27"/>
      <c r="F10" s="20" t="s">
        <v>136</v>
      </c>
      <c r="G10" s="20"/>
      <c r="H10" s="20"/>
      <c r="J10" s="20" t="s">
        <v>136</v>
      </c>
      <c r="K10" s="20"/>
      <c r="L10" s="20"/>
    </row>
    <row r="11" spans="1:16" x14ac:dyDescent="0.4">
      <c r="A11" s="18" t="s">
        <v>137</v>
      </c>
      <c r="F11" s="209"/>
      <c r="G11" s="209"/>
      <c r="H11" s="209"/>
    </row>
    <row r="12" spans="1:16" x14ac:dyDescent="0.4">
      <c r="B12" s="18" t="s">
        <v>138</v>
      </c>
      <c r="D12" s="207">
        <v>3</v>
      </c>
      <c r="F12" s="153">
        <v>190188414.44</v>
      </c>
      <c r="G12" s="153"/>
      <c r="H12" s="153">
        <v>1017330154.5599999</v>
      </c>
      <c r="I12" s="147"/>
      <c r="J12" s="198">
        <v>58232180.18</v>
      </c>
      <c r="K12" s="198"/>
      <c r="L12" s="198">
        <v>857164767.07000005</v>
      </c>
    </row>
    <row r="13" spans="1:16" x14ac:dyDescent="0.4">
      <c r="B13" s="139" t="s">
        <v>270</v>
      </c>
      <c r="D13" s="207">
        <v>4</v>
      </c>
      <c r="F13" s="153">
        <v>1518445888.75</v>
      </c>
      <c r="G13" s="153"/>
      <c r="H13" s="153">
        <v>1308075268.1500001</v>
      </c>
      <c r="I13" s="147"/>
      <c r="J13" s="198">
        <v>894664262.88999999</v>
      </c>
      <c r="K13" s="198"/>
      <c r="L13" s="198">
        <v>676074377.20000005</v>
      </c>
    </row>
    <row r="14" spans="1:16" x14ac:dyDescent="0.4">
      <c r="B14" s="139" t="s">
        <v>379</v>
      </c>
      <c r="D14" s="207">
        <v>4.7</v>
      </c>
      <c r="F14" s="153">
        <v>0</v>
      </c>
      <c r="G14" s="153"/>
      <c r="H14" s="153">
        <v>0</v>
      </c>
      <c r="I14" s="147"/>
      <c r="J14" s="198">
        <v>0</v>
      </c>
      <c r="K14" s="198"/>
      <c r="L14" s="198">
        <v>0</v>
      </c>
    </row>
    <row r="15" spans="1:16" x14ac:dyDescent="0.4">
      <c r="B15" s="18" t="s">
        <v>222</v>
      </c>
      <c r="F15" s="153"/>
      <c r="G15" s="153"/>
      <c r="H15" s="153"/>
      <c r="I15" s="147"/>
      <c r="J15" s="198"/>
      <c r="K15" s="198"/>
      <c r="L15" s="198"/>
    </row>
    <row r="16" spans="1:16" x14ac:dyDescent="0.4">
      <c r="C16" s="18" t="s">
        <v>193</v>
      </c>
      <c r="D16" s="207">
        <v>5</v>
      </c>
      <c r="F16" s="153">
        <v>333451392.80000001</v>
      </c>
      <c r="G16" s="153"/>
      <c r="H16" s="153">
        <v>3370500</v>
      </c>
      <c r="I16" s="147"/>
      <c r="J16" s="198">
        <v>11342000</v>
      </c>
      <c r="K16" s="198"/>
      <c r="L16" s="198">
        <v>3210000</v>
      </c>
      <c r="M16" s="17"/>
      <c r="N16" s="17"/>
      <c r="O16" s="17"/>
      <c r="P16" s="17"/>
    </row>
    <row r="17" spans="1:16" x14ac:dyDescent="0.4">
      <c r="C17" s="18" t="s">
        <v>194</v>
      </c>
      <c r="D17" s="207">
        <v>2.2000000000000002</v>
      </c>
      <c r="F17" s="153">
        <v>13003366.859999999</v>
      </c>
      <c r="G17" s="153"/>
      <c r="H17" s="153">
        <v>13225183.439999999</v>
      </c>
      <c r="I17" s="147"/>
      <c r="J17" s="198">
        <v>3908724.62</v>
      </c>
      <c r="K17" s="198"/>
      <c r="L17" s="198">
        <v>7340397.8200000003</v>
      </c>
      <c r="M17" s="17"/>
      <c r="N17" s="17"/>
      <c r="O17" s="17"/>
      <c r="P17" s="17"/>
    </row>
    <row r="18" spans="1:16" x14ac:dyDescent="0.4">
      <c r="B18" s="7" t="s">
        <v>275</v>
      </c>
      <c r="C18" s="18"/>
      <c r="F18" s="153"/>
      <c r="G18" s="153"/>
      <c r="H18" s="153"/>
      <c r="I18" s="147"/>
      <c r="J18" s="198"/>
      <c r="K18" s="198"/>
      <c r="L18" s="198"/>
      <c r="M18" s="17"/>
      <c r="N18" s="17"/>
      <c r="O18" s="17"/>
      <c r="P18" s="17"/>
    </row>
    <row r="19" spans="1:16" x14ac:dyDescent="0.4">
      <c r="C19" s="18" t="s">
        <v>193</v>
      </c>
      <c r="D19" s="207">
        <v>6</v>
      </c>
      <c r="F19" s="153">
        <v>812586.02</v>
      </c>
      <c r="G19" s="153"/>
      <c r="H19" s="153">
        <v>2198956.4500000002</v>
      </c>
      <c r="I19" s="147"/>
      <c r="J19" s="198">
        <v>779794.99</v>
      </c>
      <c r="K19" s="198"/>
      <c r="L19" s="198">
        <v>1929322.44</v>
      </c>
      <c r="M19" s="17"/>
      <c r="N19" s="17"/>
      <c r="O19" s="17"/>
      <c r="P19" s="17"/>
    </row>
    <row r="20" spans="1:16" x14ac:dyDescent="0.4">
      <c r="C20" s="18" t="s">
        <v>194</v>
      </c>
      <c r="D20" s="207">
        <v>2.2999999999999998</v>
      </c>
      <c r="F20" s="153">
        <v>14254527.630000001</v>
      </c>
      <c r="G20" s="153"/>
      <c r="H20" s="153">
        <v>788059.48</v>
      </c>
      <c r="I20" s="147"/>
      <c r="J20" s="198">
        <v>5295344.8899999997</v>
      </c>
      <c r="K20" s="198"/>
      <c r="L20" s="198">
        <v>8275829.4500000002</v>
      </c>
      <c r="M20" s="17"/>
      <c r="N20" s="17"/>
      <c r="O20" s="17"/>
      <c r="P20" s="17"/>
    </row>
    <row r="21" spans="1:16" x14ac:dyDescent="0.4">
      <c r="B21" s="7" t="s">
        <v>206</v>
      </c>
      <c r="F21" s="153"/>
      <c r="G21" s="153"/>
      <c r="H21" s="153"/>
      <c r="I21" s="198"/>
      <c r="J21" s="198"/>
      <c r="K21" s="198"/>
      <c r="L21" s="198"/>
      <c r="M21" s="17"/>
      <c r="N21" s="17"/>
      <c r="O21" s="17"/>
      <c r="P21" s="17"/>
    </row>
    <row r="22" spans="1:16" x14ac:dyDescent="0.4">
      <c r="C22" s="18" t="s">
        <v>193</v>
      </c>
      <c r="D22" s="207">
        <v>7</v>
      </c>
      <c r="F22" s="153">
        <v>0</v>
      </c>
      <c r="G22" s="153"/>
      <c r="H22" s="153">
        <v>50000000</v>
      </c>
      <c r="I22" s="198"/>
      <c r="J22" s="153">
        <v>0</v>
      </c>
      <c r="K22" s="153"/>
      <c r="L22" s="153">
        <v>50000000</v>
      </c>
      <c r="M22" s="17"/>
      <c r="N22" s="17"/>
      <c r="O22" s="17"/>
      <c r="P22" s="17"/>
    </row>
    <row r="23" spans="1:16" x14ac:dyDescent="0.4">
      <c r="C23" s="18" t="s">
        <v>194</v>
      </c>
      <c r="D23" s="207">
        <v>2.4</v>
      </c>
      <c r="F23" s="153">
        <v>0</v>
      </c>
      <c r="G23" s="153"/>
      <c r="H23" s="153">
        <v>0</v>
      </c>
      <c r="I23" s="198"/>
      <c r="J23" s="149">
        <v>5000000</v>
      </c>
      <c r="K23" s="149"/>
      <c r="L23" s="149">
        <v>6000000</v>
      </c>
      <c r="M23" s="17"/>
      <c r="N23" s="17"/>
      <c r="O23" s="17"/>
      <c r="P23" s="17"/>
    </row>
    <row r="24" spans="1:16" x14ac:dyDescent="0.4">
      <c r="B24" s="183" t="s">
        <v>140</v>
      </c>
      <c r="F24" s="153"/>
      <c r="G24" s="153"/>
      <c r="H24" s="153"/>
      <c r="I24" s="147"/>
      <c r="J24" s="198"/>
      <c r="K24" s="198"/>
      <c r="L24" s="198"/>
      <c r="M24" s="17"/>
      <c r="N24" s="17"/>
      <c r="O24" s="17"/>
      <c r="P24" s="17"/>
    </row>
    <row r="25" spans="1:16" x14ac:dyDescent="0.4">
      <c r="C25" s="7" t="s">
        <v>271</v>
      </c>
      <c r="F25" s="153">
        <v>11655874.220000001</v>
      </c>
      <c r="G25" s="153"/>
      <c r="H25" s="153">
        <v>9479008.4299999997</v>
      </c>
      <c r="I25" s="147"/>
      <c r="J25" s="198">
        <v>9576981.3399999999</v>
      </c>
      <c r="K25" s="198"/>
      <c r="L25" s="198">
        <v>7115380.5499999998</v>
      </c>
      <c r="M25" s="17"/>
      <c r="N25" s="17"/>
      <c r="O25" s="17"/>
      <c r="P25" s="17"/>
    </row>
    <row r="26" spans="1:16" x14ac:dyDescent="0.4">
      <c r="C26" s="139" t="s">
        <v>147</v>
      </c>
      <c r="F26" s="151">
        <f>SUM(F12:F25)</f>
        <v>2081812050.72</v>
      </c>
      <c r="G26" s="199"/>
      <c r="H26" s="151">
        <f>SUM(H12:H25)</f>
        <v>2404467130.5099998</v>
      </c>
      <c r="I26" s="147"/>
      <c r="J26" s="151">
        <f>SUM(J12:J25)</f>
        <v>988799288.90999997</v>
      </c>
      <c r="K26" s="199"/>
      <c r="L26" s="151">
        <f>SUM(L12:L25)</f>
        <v>1617110074.53</v>
      </c>
      <c r="M26" s="17"/>
      <c r="N26" s="17"/>
      <c r="O26" s="17"/>
      <c r="P26" s="17"/>
    </row>
    <row r="27" spans="1:16" x14ac:dyDescent="0.4">
      <c r="F27" s="149"/>
      <c r="G27" s="149"/>
      <c r="H27" s="149"/>
      <c r="I27" s="147"/>
      <c r="J27" s="198"/>
      <c r="K27" s="198"/>
      <c r="L27" s="198"/>
      <c r="M27" s="17"/>
      <c r="N27" s="17"/>
      <c r="O27" s="17"/>
      <c r="P27" s="17"/>
    </row>
    <row r="28" spans="1:16" x14ac:dyDescent="0.4">
      <c r="A28" s="7" t="s">
        <v>142</v>
      </c>
      <c r="F28" s="149"/>
      <c r="G28" s="149"/>
      <c r="H28" s="149"/>
      <c r="I28" s="147"/>
      <c r="J28" s="198"/>
      <c r="K28" s="198"/>
      <c r="L28" s="198"/>
      <c r="M28" s="17"/>
      <c r="N28" s="17"/>
      <c r="O28" s="17"/>
      <c r="P28" s="17"/>
    </row>
    <row r="29" spans="1:16" x14ac:dyDescent="0.4">
      <c r="B29" s="7" t="s">
        <v>216</v>
      </c>
      <c r="D29" s="207">
        <v>8</v>
      </c>
      <c r="F29" s="149">
        <v>15000000</v>
      </c>
      <c r="G29" s="149"/>
      <c r="H29" s="149">
        <v>15000000</v>
      </c>
      <c r="I29" s="147"/>
      <c r="J29" s="149">
        <v>15000000</v>
      </c>
      <c r="K29" s="149"/>
      <c r="L29" s="149">
        <v>15000000</v>
      </c>
      <c r="M29" s="17"/>
      <c r="N29" s="17"/>
      <c r="O29" s="17"/>
      <c r="P29" s="17"/>
    </row>
    <row r="30" spans="1:16" x14ac:dyDescent="0.4">
      <c r="B30" s="139" t="s">
        <v>196</v>
      </c>
      <c r="D30" s="207">
        <v>9</v>
      </c>
      <c r="F30" s="153">
        <v>0</v>
      </c>
      <c r="G30" s="153"/>
      <c r="H30" s="153">
        <v>0</v>
      </c>
      <c r="I30" s="147"/>
      <c r="J30" s="198">
        <v>33077100</v>
      </c>
      <c r="K30" s="198"/>
      <c r="L30" s="198">
        <v>132399078.66</v>
      </c>
      <c r="M30" s="17"/>
      <c r="N30" s="17"/>
      <c r="O30" s="17"/>
      <c r="P30" s="17"/>
    </row>
    <row r="31" spans="1:16" x14ac:dyDescent="0.4">
      <c r="B31" s="139" t="s">
        <v>143</v>
      </c>
      <c r="D31" s="207">
        <v>10</v>
      </c>
      <c r="F31" s="153">
        <v>360000565.80000001</v>
      </c>
      <c r="G31" s="153"/>
      <c r="H31" s="153">
        <v>372015527.62</v>
      </c>
      <c r="I31" s="147"/>
      <c r="J31" s="198">
        <v>360000000</v>
      </c>
      <c r="K31" s="198"/>
      <c r="L31" s="198">
        <v>372014919.99000001</v>
      </c>
      <c r="M31" s="17"/>
      <c r="N31" s="17"/>
      <c r="O31" s="17"/>
      <c r="P31" s="17"/>
    </row>
    <row r="32" spans="1:16" x14ac:dyDescent="0.4">
      <c r="B32" s="139" t="s">
        <v>375</v>
      </c>
      <c r="D32" s="207">
        <v>11</v>
      </c>
      <c r="F32" s="153">
        <v>300000000</v>
      </c>
      <c r="G32" s="153"/>
      <c r="H32" s="153">
        <v>0</v>
      </c>
      <c r="I32" s="147"/>
      <c r="J32" s="198">
        <v>300000000</v>
      </c>
      <c r="K32" s="198"/>
      <c r="L32" s="198">
        <v>0</v>
      </c>
      <c r="M32" s="17"/>
      <c r="N32" s="17"/>
      <c r="O32" s="17"/>
      <c r="P32" s="17"/>
    </row>
    <row r="33" spans="1:16" x14ac:dyDescent="0.4">
      <c r="B33" s="139" t="s">
        <v>321</v>
      </c>
      <c r="D33" s="207">
        <v>12</v>
      </c>
      <c r="F33" s="149">
        <v>37875217.159999996</v>
      </c>
      <c r="G33" s="149"/>
      <c r="H33" s="149">
        <v>40542339.009999998</v>
      </c>
      <c r="I33" s="147"/>
      <c r="J33" s="198">
        <v>37873268.369999997</v>
      </c>
      <c r="K33" s="198"/>
      <c r="L33" s="198">
        <v>40539066.82</v>
      </c>
      <c r="M33" s="17"/>
      <c r="N33" s="17"/>
      <c r="O33" s="17"/>
      <c r="P33" s="17"/>
    </row>
    <row r="34" spans="1:16" x14ac:dyDescent="0.4">
      <c r="B34" s="139" t="s">
        <v>315</v>
      </c>
      <c r="D34" s="207">
        <v>13</v>
      </c>
      <c r="F34" s="149">
        <v>7921992.71</v>
      </c>
      <c r="G34" s="149"/>
      <c r="H34" s="149">
        <v>8251221.4800000004</v>
      </c>
      <c r="I34" s="147"/>
      <c r="J34" s="198">
        <v>7921992.71</v>
      </c>
      <c r="K34" s="198"/>
      <c r="L34" s="198">
        <v>8251221.4800000004</v>
      </c>
      <c r="M34" s="17"/>
      <c r="N34" s="17"/>
      <c r="O34" s="17"/>
      <c r="P34" s="17"/>
    </row>
    <row r="35" spans="1:16" x14ac:dyDescent="0.4">
      <c r="B35" s="139" t="s">
        <v>289</v>
      </c>
      <c r="D35" s="207">
        <v>20.3</v>
      </c>
      <c r="F35" s="149">
        <v>7839367.1699999999</v>
      </c>
      <c r="G35" s="149"/>
      <c r="H35" s="149">
        <v>15563593.279999999</v>
      </c>
      <c r="I35" s="147"/>
      <c r="J35" s="198">
        <v>7167661.25</v>
      </c>
      <c r="K35" s="198"/>
      <c r="L35" s="198">
        <v>14815879.359999999</v>
      </c>
      <c r="M35" s="17"/>
      <c r="N35" s="17"/>
      <c r="O35" s="17"/>
      <c r="P35" s="17"/>
    </row>
    <row r="36" spans="1:16" x14ac:dyDescent="0.4">
      <c r="B36" s="139" t="s">
        <v>144</v>
      </c>
      <c r="F36" s="149"/>
      <c r="G36" s="149"/>
      <c r="H36" s="149"/>
      <c r="I36" s="147"/>
      <c r="J36" s="198"/>
      <c r="K36" s="198"/>
      <c r="L36" s="198"/>
      <c r="M36" s="17"/>
      <c r="N36" s="17"/>
      <c r="O36" s="17"/>
      <c r="P36" s="17"/>
    </row>
    <row r="37" spans="1:16" x14ac:dyDescent="0.4">
      <c r="C37" s="7" t="s">
        <v>145</v>
      </c>
      <c r="F37" s="149">
        <v>2969007.25</v>
      </c>
      <c r="G37" s="149"/>
      <c r="H37" s="149">
        <v>4216213.53</v>
      </c>
      <c r="I37" s="147"/>
      <c r="J37" s="198">
        <v>824755.92</v>
      </c>
      <c r="K37" s="198"/>
      <c r="L37" s="198">
        <v>2531547.96</v>
      </c>
      <c r="M37" s="17"/>
      <c r="N37" s="17"/>
      <c r="O37" s="17"/>
      <c r="P37" s="17"/>
    </row>
    <row r="38" spans="1:16" x14ac:dyDescent="0.4">
      <c r="C38" s="139" t="s">
        <v>195</v>
      </c>
      <c r="F38" s="149">
        <v>162900</v>
      </c>
      <c r="G38" s="149"/>
      <c r="H38" s="149">
        <v>162900</v>
      </c>
      <c r="I38" s="147"/>
      <c r="J38" s="198">
        <v>162900</v>
      </c>
      <c r="K38" s="198"/>
      <c r="L38" s="198">
        <v>87300</v>
      </c>
      <c r="M38" s="17"/>
      <c r="N38" s="17"/>
      <c r="O38" s="17"/>
      <c r="P38" s="17"/>
    </row>
    <row r="39" spans="1:16" x14ac:dyDescent="0.4">
      <c r="C39" s="139" t="s">
        <v>146</v>
      </c>
      <c r="F39" s="151">
        <f>SUM(F29:F38)</f>
        <v>731769050.08999991</v>
      </c>
      <c r="G39" s="199"/>
      <c r="H39" s="151">
        <f>SUM(H29:H38)</f>
        <v>455751794.91999996</v>
      </c>
      <c r="I39" s="147"/>
      <c r="J39" s="151">
        <f>SUM(J29:J38)</f>
        <v>762027678.25</v>
      </c>
      <c r="K39" s="199"/>
      <c r="L39" s="151">
        <f>SUM(L29:L38)</f>
        <v>585639014.2700001</v>
      </c>
      <c r="M39" s="17"/>
      <c r="N39" s="17"/>
      <c r="O39" s="17"/>
      <c r="P39" s="17"/>
    </row>
    <row r="40" spans="1:16" ht="18.75" thickBot="1" x14ac:dyDescent="0.45">
      <c r="A40" s="139" t="s">
        <v>148</v>
      </c>
      <c r="F40" s="154">
        <f>+F39+F26</f>
        <v>2813581100.8099999</v>
      </c>
      <c r="G40" s="199"/>
      <c r="H40" s="154">
        <f>+H39+H26</f>
        <v>2860218925.4299998</v>
      </c>
      <c r="I40" s="147"/>
      <c r="J40" s="154">
        <f>+J39+J26</f>
        <v>1750826967.1599998</v>
      </c>
      <c r="K40" s="199"/>
      <c r="L40" s="154">
        <f>+L39+L26</f>
        <v>2202749088.8000002</v>
      </c>
      <c r="M40" s="17"/>
      <c r="N40" s="17"/>
      <c r="O40" s="17"/>
      <c r="P40" s="17"/>
    </row>
    <row r="41" spans="1:16" ht="18.75" thickTop="1" x14ac:dyDescent="0.4">
      <c r="F41" s="158"/>
      <c r="G41" s="158"/>
      <c r="H41" s="158"/>
      <c r="I41" s="147"/>
      <c r="J41" s="199"/>
      <c r="K41" s="199"/>
      <c r="L41" s="199"/>
      <c r="M41" s="17"/>
      <c r="N41" s="17"/>
      <c r="O41" s="17"/>
      <c r="P41" s="17"/>
    </row>
    <row r="42" spans="1:16" x14ac:dyDescent="0.4">
      <c r="A42" s="13" t="s">
        <v>235</v>
      </c>
      <c r="J42" s="16"/>
      <c r="K42" s="16"/>
      <c r="L42" s="16"/>
      <c r="M42" s="17"/>
      <c r="N42" s="17"/>
      <c r="O42" s="17"/>
      <c r="P42" s="17"/>
    </row>
    <row r="43" spans="1:16" x14ac:dyDescent="0.4">
      <c r="J43" s="16"/>
      <c r="K43" s="16"/>
      <c r="L43" s="16"/>
      <c r="M43" s="17"/>
      <c r="N43" s="17"/>
      <c r="O43" s="17"/>
      <c r="P43" s="17"/>
    </row>
    <row r="44" spans="1:16" x14ac:dyDescent="0.4">
      <c r="A44" s="13"/>
      <c r="M44" s="17"/>
      <c r="N44" s="17"/>
      <c r="O44" s="17"/>
      <c r="P44" s="17"/>
    </row>
    <row r="45" spans="1:16" x14ac:dyDescent="0.4">
      <c r="M45" s="17"/>
      <c r="N45" s="17"/>
      <c r="O45" s="17"/>
      <c r="P45" s="17"/>
    </row>
    <row r="46" spans="1:16" ht="18.75" customHeight="1" x14ac:dyDescent="0.4">
      <c r="M46" s="17"/>
      <c r="N46" s="17"/>
      <c r="O46" s="17"/>
      <c r="P46" s="17"/>
    </row>
    <row r="47" spans="1:16" x14ac:dyDescent="0.4">
      <c r="A47" s="207"/>
      <c r="B47" s="24" t="s">
        <v>149</v>
      </c>
      <c r="C47" s="207"/>
      <c r="D47" s="24"/>
      <c r="F47" s="24" t="s">
        <v>149</v>
      </c>
      <c r="G47" s="24"/>
      <c r="I47" s="207"/>
      <c r="J47" s="207"/>
      <c r="K47" s="207"/>
      <c r="L47" s="207"/>
      <c r="M47" s="17"/>
      <c r="N47" s="17"/>
      <c r="O47" s="17"/>
      <c r="P47" s="17"/>
    </row>
    <row r="48" spans="1:16" ht="18.75" customHeight="1" x14ac:dyDescent="0.4">
      <c r="A48" s="214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17"/>
      <c r="N48" s="17"/>
      <c r="O48" s="17"/>
      <c r="P48" s="17"/>
    </row>
    <row r="49" spans="1:16" x14ac:dyDescent="0.4">
      <c r="A49" s="7" t="s">
        <v>205</v>
      </c>
      <c r="B49" s="24"/>
      <c r="C49" s="207"/>
      <c r="D49" s="24"/>
      <c r="E49" s="24"/>
      <c r="F49" s="24"/>
      <c r="G49" s="24"/>
      <c r="I49" s="24"/>
      <c r="J49" s="24"/>
      <c r="K49" s="24"/>
      <c r="L49" s="24"/>
      <c r="M49" s="17"/>
      <c r="N49" s="17"/>
      <c r="O49" s="17"/>
      <c r="P49" s="17"/>
    </row>
    <row r="50" spans="1:16" x14ac:dyDescent="0.4">
      <c r="A50" s="24"/>
      <c r="B50" s="25"/>
      <c r="C50" s="207"/>
      <c r="I50" s="207"/>
      <c r="J50" s="207"/>
      <c r="K50" s="207"/>
      <c r="M50" s="17"/>
      <c r="N50" s="17"/>
      <c r="O50" s="17"/>
      <c r="P50" s="17"/>
    </row>
    <row r="51" spans="1:16" x14ac:dyDescent="0.4">
      <c r="A51" s="215" t="s">
        <v>131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17"/>
      <c r="N51" s="17"/>
      <c r="O51" s="17"/>
      <c r="P51" s="17"/>
    </row>
    <row r="52" spans="1:16" x14ac:dyDescent="0.4">
      <c r="A52" s="215" t="s">
        <v>259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17"/>
      <c r="N52" s="17"/>
      <c r="O52" s="17"/>
      <c r="P52" s="17"/>
    </row>
    <row r="53" spans="1:16" x14ac:dyDescent="0.4">
      <c r="A53" s="215" t="str">
        <f>A5</f>
        <v>AS AT SEPTEMBER 30, 2017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17"/>
      <c r="N53" s="17"/>
      <c r="O53" s="17"/>
      <c r="P53" s="17"/>
    </row>
    <row r="54" spans="1:16" ht="18.75" customHeight="1" x14ac:dyDescent="0.4">
      <c r="F54" s="216" t="s">
        <v>132</v>
      </c>
      <c r="G54" s="216"/>
      <c r="H54" s="216"/>
      <c r="I54" s="216"/>
      <c r="J54" s="216"/>
      <c r="K54" s="216"/>
      <c r="L54" s="216"/>
      <c r="M54" s="17"/>
      <c r="N54" s="17"/>
      <c r="O54" s="17"/>
      <c r="P54" s="17"/>
    </row>
    <row r="55" spans="1:16" ht="18.75" customHeight="1" x14ac:dyDescent="0.4">
      <c r="F55" s="217" t="s">
        <v>211</v>
      </c>
      <c r="G55" s="217"/>
      <c r="H55" s="217"/>
      <c r="J55" s="217" t="s">
        <v>212</v>
      </c>
      <c r="K55" s="217"/>
      <c r="L55" s="217"/>
      <c r="M55" s="17"/>
      <c r="N55" s="17"/>
      <c r="O55" s="17"/>
      <c r="P55" s="17"/>
    </row>
    <row r="56" spans="1:16" x14ac:dyDescent="0.4">
      <c r="D56" s="178" t="s">
        <v>133</v>
      </c>
      <c r="E56" s="27"/>
      <c r="F56" s="181" t="str">
        <f>F8</f>
        <v>September 30, 2017</v>
      </c>
      <c r="G56" s="182"/>
      <c r="H56" s="181" t="str">
        <f>H8</f>
        <v>December 31, 2016</v>
      </c>
      <c r="J56" s="181" t="str">
        <f>J8</f>
        <v>September 30, 2017</v>
      </c>
      <c r="K56" s="182"/>
      <c r="L56" s="181" t="str">
        <f>L8</f>
        <v>December 31, 2016</v>
      </c>
      <c r="M56" s="17"/>
      <c r="N56" s="17"/>
      <c r="O56" s="17"/>
      <c r="P56" s="17"/>
    </row>
    <row r="57" spans="1:16" s="207" customFormat="1" ht="18" customHeight="1" x14ac:dyDescent="0.4">
      <c r="D57" s="27"/>
      <c r="E57" s="27"/>
      <c r="F57" s="209" t="s">
        <v>134</v>
      </c>
      <c r="G57" s="209"/>
      <c r="H57" s="35" t="s">
        <v>135</v>
      </c>
      <c r="I57" s="13"/>
      <c r="J57" s="209" t="s">
        <v>134</v>
      </c>
      <c r="K57" s="209"/>
      <c r="L57" s="35" t="s">
        <v>135</v>
      </c>
      <c r="M57" s="27"/>
      <c r="N57" s="27"/>
      <c r="O57" s="27"/>
      <c r="P57" s="27"/>
    </row>
    <row r="58" spans="1:16" s="207" customFormat="1" ht="18" customHeight="1" x14ac:dyDescent="0.4">
      <c r="D58" s="27"/>
      <c r="E58" s="27"/>
      <c r="F58" s="20" t="s">
        <v>136</v>
      </c>
      <c r="G58" s="20"/>
      <c r="H58" s="20"/>
      <c r="I58" s="7"/>
      <c r="J58" s="20" t="s">
        <v>136</v>
      </c>
      <c r="K58" s="20"/>
      <c r="L58" s="20"/>
      <c r="M58" s="27"/>
      <c r="N58" s="27"/>
      <c r="O58" s="27"/>
      <c r="P58" s="27"/>
    </row>
    <row r="59" spans="1:16" ht="18" customHeight="1" x14ac:dyDescent="0.4">
      <c r="A59" s="219" t="s">
        <v>150</v>
      </c>
      <c r="B59" s="219"/>
      <c r="C59" s="219"/>
      <c r="D59" s="27"/>
      <c r="E59" s="27"/>
      <c r="F59" s="28"/>
      <c r="G59" s="28"/>
      <c r="H59" s="29"/>
      <c r="J59" s="28"/>
      <c r="K59" s="28"/>
      <c r="L59" s="28"/>
      <c r="M59" s="17"/>
      <c r="N59" s="17"/>
      <c r="O59" s="17"/>
      <c r="P59" s="17"/>
    </row>
    <row r="60" spans="1:16" x14ac:dyDescent="0.4">
      <c r="A60" s="139" t="s">
        <v>151</v>
      </c>
      <c r="F60" s="208"/>
      <c r="G60" s="208"/>
      <c r="H60" s="208"/>
      <c r="M60" s="17"/>
      <c r="N60" s="17"/>
      <c r="O60" s="17"/>
      <c r="P60" s="17"/>
    </row>
    <row r="61" spans="1:16" x14ac:dyDescent="0.4">
      <c r="C61" s="7" t="s">
        <v>382</v>
      </c>
      <c r="D61" s="11">
        <v>16</v>
      </c>
      <c r="F61" s="12">
        <v>100000000</v>
      </c>
      <c r="G61" s="12"/>
      <c r="H61" s="213">
        <v>0</v>
      </c>
      <c r="I61" s="12"/>
      <c r="J61" s="12">
        <v>100000000</v>
      </c>
      <c r="K61" s="12"/>
      <c r="L61" s="12">
        <v>0</v>
      </c>
      <c r="M61" s="17"/>
      <c r="N61" s="17"/>
      <c r="O61" s="17"/>
      <c r="P61" s="17"/>
    </row>
    <row r="62" spans="1:16" x14ac:dyDescent="0.4">
      <c r="C62" s="7" t="s">
        <v>291</v>
      </c>
      <c r="D62" s="11"/>
      <c r="F62" s="10"/>
      <c r="G62" s="10"/>
      <c r="H62" s="208"/>
      <c r="I62" s="18"/>
      <c r="M62" s="17"/>
      <c r="N62" s="17"/>
      <c r="O62" s="17"/>
      <c r="P62" s="17"/>
    </row>
    <row r="63" spans="1:16" x14ac:dyDescent="0.4">
      <c r="C63" s="18" t="s">
        <v>217</v>
      </c>
      <c r="D63" s="11">
        <v>14</v>
      </c>
      <c r="F63" s="153">
        <v>100970363.43000001</v>
      </c>
      <c r="G63" s="153"/>
      <c r="H63" s="153">
        <v>1275827.43</v>
      </c>
      <c r="I63" s="147"/>
      <c r="J63" s="198">
        <v>107000</v>
      </c>
      <c r="K63" s="198"/>
      <c r="L63" s="198">
        <v>0</v>
      </c>
      <c r="M63" s="17"/>
      <c r="N63" s="17"/>
      <c r="O63" s="17"/>
      <c r="P63" s="17"/>
    </row>
    <row r="64" spans="1:16" x14ac:dyDescent="0.4">
      <c r="C64" s="18" t="s">
        <v>218</v>
      </c>
      <c r="D64" s="207">
        <v>2.5</v>
      </c>
      <c r="F64" s="153">
        <v>1616221.78</v>
      </c>
      <c r="G64" s="153"/>
      <c r="H64" s="153">
        <v>1155711.21</v>
      </c>
      <c r="I64" s="147"/>
      <c r="J64" s="198">
        <v>92970000</v>
      </c>
      <c r="K64" s="198"/>
      <c r="L64" s="198">
        <v>106473400</v>
      </c>
      <c r="M64" s="17"/>
      <c r="N64" s="17"/>
      <c r="O64" s="17"/>
      <c r="P64" s="17"/>
    </row>
    <row r="65" spans="1:16" x14ac:dyDescent="0.4">
      <c r="C65" s="7" t="s">
        <v>290</v>
      </c>
      <c r="F65" s="153"/>
      <c r="G65" s="153"/>
      <c r="H65" s="153"/>
      <c r="I65" s="147"/>
      <c r="J65" s="198"/>
      <c r="K65" s="198"/>
      <c r="L65" s="198"/>
      <c r="M65" s="17"/>
      <c r="N65" s="17"/>
      <c r="O65" s="17"/>
      <c r="P65" s="17"/>
    </row>
    <row r="66" spans="1:16" x14ac:dyDescent="0.4">
      <c r="C66" s="18" t="s">
        <v>217</v>
      </c>
      <c r="D66" s="207">
        <v>15</v>
      </c>
      <c r="F66" s="153">
        <v>28673232.829999998</v>
      </c>
      <c r="G66" s="153"/>
      <c r="H66" s="153">
        <v>50426649.079999998</v>
      </c>
      <c r="I66" s="147"/>
      <c r="J66" s="198">
        <v>28496482.809999999</v>
      </c>
      <c r="K66" s="198"/>
      <c r="L66" s="198">
        <v>37458771.210000001</v>
      </c>
      <c r="M66" s="17"/>
      <c r="N66" s="17"/>
      <c r="O66" s="17"/>
      <c r="P66" s="17"/>
    </row>
    <row r="67" spans="1:16" x14ac:dyDescent="0.4">
      <c r="C67" s="18" t="s">
        <v>218</v>
      </c>
      <c r="D67" s="207">
        <v>2.6</v>
      </c>
      <c r="F67" s="153">
        <v>0</v>
      </c>
      <c r="G67" s="153"/>
      <c r="H67" s="153">
        <v>0</v>
      </c>
      <c r="I67" s="147"/>
      <c r="J67" s="198">
        <v>4369177.3</v>
      </c>
      <c r="K67" s="198"/>
      <c r="L67" s="198">
        <v>4269754.74</v>
      </c>
      <c r="M67" s="17"/>
      <c r="N67" s="17"/>
      <c r="O67" s="17"/>
      <c r="P67" s="17"/>
    </row>
    <row r="68" spans="1:16" x14ac:dyDescent="0.4">
      <c r="C68" s="7" t="s">
        <v>206</v>
      </c>
      <c r="D68" s="11"/>
      <c r="F68" s="7"/>
      <c r="G68" s="7"/>
      <c r="H68" s="153"/>
      <c r="J68" s="7"/>
      <c r="K68" s="7"/>
      <c r="L68" s="198"/>
      <c r="M68" s="17"/>
      <c r="N68" s="17"/>
      <c r="O68" s="17"/>
      <c r="P68" s="17"/>
    </row>
    <row r="69" spans="1:16" x14ac:dyDescent="0.4">
      <c r="C69" s="18" t="s">
        <v>218</v>
      </c>
      <c r="D69" s="11">
        <v>2.7</v>
      </c>
      <c r="F69" s="153">
        <v>0</v>
      </c>
      <c r="G69" s="153"/>
      <c r="H69" s="153">
        <v>0</v>
      </c>
      <c r="I69" s="147"/>
      <c r="J69" s="153">
        <v>145129600</v>
      </c>
      <c r="K69" s="153"/>
      <c r="L69" s="153">
        <v>268410000</v>
      </c>
      <c r="M69" s="17"/>
      <c r="N69" s="17"/>
      <c r="O69" s="17"/>
      <c r="P69" s="17"/>
    </row>
    <row r="70" spans="1:16" x14ac:dyDescent="0.4">
      <c r="C70" s="7" t="s">
        <v>153</v>
      </c>
      <c r="D70" s="11"/>
      <c r="F70" s="153">
        <v>129791.61</v>
      </c>
      <c r="G70" s="153"/>
      <c r="H70" s="153">
        <v>125525078.37</v>
      </c>
      <c r="I70" s="147"/>
      <c r="J70" s="153">
        <v>0</v>
      </c>
      <c r="K70" s="153"/>
      <c r="L70" s="153">
        <v>124738357.70999999</v>
      </c>
      <c r="M70" s="17"/>
      <c r="N70" s="17"/>
      <c r="O70" s="17"/>
      <c r="P70" s="17"/>
    </row>
    <row r="71" spans="1:16" x14ac:dyDescent="0.4">
      <c r="C71" s="193" t="s">
        <v>343</v>
      </c>
      <c r="D71" s="11">
        <v>17</v>
      </c>
      <c r="F71" s="153">
        <v>10047159.710000001</v>
      </c>
      <c r="G71" s="153"/>
      <c r="H71" s="153">
        <v>3634084.86</v>
      </c>
      <c r="I71" s="147"/>
      <c r="J71" s="153">
        <v>10047159.710000001</v>
      </c>
      <c r="K71" s="153"/>
      <c r="L71" s="153">
        <v>3634084.86</v>
      </c>
      <c r="M71" s="17"/>
      <c r="N71" s="17"/>
      <c r="O71" s="17"/>
      <c r="P71" s="17"/>
    </row>
    <row r="72" spans="1:16" x14ac:dyDescent="0.4">
      <c r="B72" s="7" t="s">
        <v>152</v>
      </c>
      <c r="D72" s="11"/>
      <c r="F72" s="153"/>
      <c r="G72" s="153"/>
      <c r="H72" s="153"/>
      <c r="I72" s="147"/>
      <c r="J72" s="153"/>
      <c r="K72" s="153"/>
      <c r="L72" s="153"/>
      <c r="M72" s="17"/>
      <c r="N72" s="17"/>
      <c r="O72" s="17"/>
      <c r="P72" s="17"/>
    </row>
    <row r="73" spans="1:16" x14ac:dyDescent="0.4">
      <c r="C73" s="7" t="s">
        <v>219</v>
      </c>
      <c r="D73" s="11"/>
      <c r="F73" s="153">
        <v>1615962.78</v>
      </c>
      <c r="G73" s="153"/>
      <c r="H73" s="153">
        <v>2162995.58</v>
      </c>
      <c r="I73" s="149"/>
      <c r="J73" s="149">
        <v>975462.78</v>
      </c>
      <c r="K73" s="149"/>
      <c r="L73" s="149">
        <v>639095.57999999996</v>
      </c>
      <c r="M73" s="17"/>
      <c r="N73" s="17"/>
      <c r="O73" s="17"/>
      <c r="P73" s="17"/>
    </row>
    <row r="74" spans="1:16" x14ac:dyDescent="0.4">
      <c r="C74" s="7" t="s">
        <v>141</v>
      </c>
      <c r="D74" s="11"/>
      <c r="F74" s="153">
        <v>6486221.1200000001</v>
      </c>
      <c r="G74" s="153"/>
      <c r="H74" s="153">
        <v>764668.31</v>
      </c>
      <c r="I74" s="147"/>
      <c r="J74" s="198">
        <v>6392515.9199999999</v>
      </c>
      <c r="K74" s="198"/>
      <c r="L74" s="198">
        <v>679612.13</v>
      </c>
      <c r="M74" s="17"/>
      <c r="N74" s="17"/>
      <c r="O74" s="17"/>
      <c r="P74" s="17"/>
    </row>
    <row r="75" spans="1:16" x14ac:dyDescent="0.4">
      <c r="C75" s="139" t="s">
        <v>154</v>
      </c>
      <c r="D75" s="11"/>
      <c r="F75" s="151">
        <f>SUM(F61:F74)</f>
        <v>249538953.26000005</v>
      </c>
      <c r="G75" s="199"/>
      <c r="H75" s="151">
        <f>SUM(H61:H74)</f>
        <v>184945014.84000003</v>
      </c>
      <c r="I75" s="147"/>
      <c r="J75" s="151">
        <f>SUM(J61:J74)</f>
        <v>388487398.51999998</v>
      </c>
      <c r="K75" s="199"/>
      <c r="L75" s="151">
        <f>SUM(L61:L74)</f>
        <v>546303076.23000014</v>
      </c>
      <c r="M75" s="17"/>
      <c r="N75" s="17"/>
      <c r="O75" s="17"/>
      <c r="P75" s="17"/>
    </row>
    <row r="76" spans="1:16" x14ac:dyDescent="0.4">
      <c r="C76" s="139"/>
      <c r="D76" s="11"/>
      <c r="F76" s="199"/>
      <c r="G76" s="199"/>
      <c r="H76" s="199"/>
      <c r="I76" s="147"/>
      <c r="J76" s="199"/>
      <c r="K76" s="199"/>
      <c r="L76" s="199"/>
      <c r="M76" s="17"/>
      <c r="N76" s="17"/>
      <c r="O76" s="17"/>
      <c r="P76" s="17"/>
    </row>
    <row r="77" spans="1:16" x14ac:dyDescent="0.4">
      <c r="A77" s="139" t="s">
        <v>237</v>
      </c>
      <c r="C77" s="139"/>
      <c r="D77" s="11"/>
      <c r="F77" s="199"/>
      <c r="G77" s="199"/>
      <c r="H77" s="199"/>
      <c r="I77" s="147"/>
      <c r="J77" s="199"/>
      <c r="K77" s="199"/>
      <c r="L77" s="199"/>
      <c r="M77" s="17"/>
      <c r="N77" s="17"/>
      <c r="O77" s="17"/>
      <c r="P77" s="17"/>
    </row>
    <row r="78" spans="1:16" x14ac:dyDescent="0.4">
      <c r="A78" s="139"/>
      <c r="B78" s="7" t="s">
        <v>344</v>
      </c>
      <c r="C78" s="139"/>
      <c r="D78" s="11">
        <v>17</v>
      </c>
      <c r="F78" s="199">
        <v>0</v>
      </c>
      <c r="G78" s="199"/>
      <c r="H78" s="199">
        <v>9148416.9399999995</v>
      </c>
      <c r="I78" s="147"/>
      <c r="J78" s="199">
        <v>0</v>
      </c>
      <c r="K78" s="199"/>
      <c r="L78" s="199">
        <v>9148416.9399999995</v>
      </c>
      <c r="M78" s="17"/>
      <c r="N78" s="17"/>
      <c r="O78" s="17"/>
      <c r="P78" s="17"/>
    </row>
    <row r="79" spans="1:16" x14ac:dyDescent="0.4">
      <c r="A79" s="139"/>
      <c r="B79" s="7" t="s">
        <v>345</v>
      </c>
      <c r="C79" s="139"/>
      <c r="D79" s="11">
        <v>20.3</v>
      </c>
      <c r="F79" s="199">
        <v>26862813.800000001</v>
      </c>
      <c r="G79" s="199"/>
      <c r="H79" s="199">
        <v>16926598.469999999</v>
      </c>
      <c r="I79" s="147"/>
      <c r="J79" s="199">
        <v>26862813.800000001</v>
      </c>
      <c r="K79" s="199"/>
      <c r="L79" s="199">
        <v>16926598.469999999</v>
      </c>
      <c r="M79" s="17"/>
      <c r="N79" s="17"/>
      <c r="O79" s="17"/>
      <c r="P79" s="17"/>
    </row>
    <row r="80" spans="1:16" x14ac:dyDescent="0.4">
      <c r="B80" s="7" t="s">
        <v>241</v>
      </c>
      <c r="C80" s="139"/>
      <c r="D80" s="11">
        <v>18</v>
      </c>
      <c r="F80" s="153">
        <v>25261170</v>
      </c>
      <c r="G80" s="153"/>
      <c r="H80" s="153">
        <v>21667371</v>
      </c>
      <c r="I80" s="198"/>
      <c r="J80" s="198">
        <v>23338244</v>
      </c>
      <c r="K80" s="198"/>
      <c r="L80" s="198">
        <v>19364405</v>
      </c>
      <c r="M80" s="152"/>
      <c r="N80" s="17"/>
      <c r="O80" s="17"/>
      <c r="P80" s="17"/>
    </row>
    <row r="81" spans="1:16" x14ac:dyDescent="0.4">
      <c r="C81" s="139" t="s">
        <v>238</v>
      </c>
      <c r="D81" s="11"/>
      <c r="F81" s="151">
        <f>SUM(F78:F80)</f>
        <v>52123983.799999997</v>
      </c>
      <c r="G81" s="199"/>
      <c r="H81" s="151">
        <f>SUM(H78:H80)</f>
        <v>47742386.409999996</v>
      </c>
      <c r="I81" s="198"/>
      <c r="J81" s="151">
        <f>SUM(J78:J80)</f>
        <v>50201057.799999997</v>
      </c>
      <c r="K81" s="199"/>
      <c r="L81" s="151">
        <f>SUM(L78:L80)</f>
        <v>45439420.409999996</v>
      </c>
      <c r="M81" s="17"/>
      <c r="N81" s="17"/>
      <c r="O81" s="17"/>
      <c r="P81" s="17"/>
    </row>
    <row r="82" spans="1:16" x14ac:dyDescent="0.4">
      <c r="C82" s="139"/>
      <c r="D82" s="11"/>
      <c r="F82" s="199"/>
      <c r="G82" s="199"/>
      <c r="H82" s="199"/>
      <c r="I82" s="199"/>
      <c r="J82" s="199"/>
      <c r="K82" s="199"/>
      <c r="L82" s="199"/>
      <c r="M82" s="17"/>
      <c r="N82" s="17"/>
      <c r="O82" s="17"/>
      <c r="P82" s="17"/>
    </row>
    <row r="83" spans="1:16" x14ac:dyDescent="0.4">
      <c r="C83" s="139" t="s">
        <v>239</v>
      </c>
      <c r="D83" s="11"/>
      <c r="F83" s="148">
        <f>+F81+F75</f>
        <v>301662937.06000006</v>
      </c>
      <c r="G83" s="199"/>
      <c r="H83" s="148">
        <f>+H81+H75</f>
        <v>232687401.25000003</v>
      </c>
      <c r="I83" s="152"/>
      <c r="J83" s="148">
        <f>+J81+J75</f>
        <v>438688456.31999999</v>
      </c>
      <c r="K83" s="199"/>
      <c r="L83" s="148">
        <f>+L81+L75</f>
        <v>591742496.6400001</v>
      </c>
      <c r="M83" s="17"/>
      <c r="N83" s="17"/>
      <c r="O83" s="17"/>
      <c r="P83" s="17"/>
    </row>
    <row r="84" spans="1:16" x14ac:dyDescent="0.4">
      <c r="C84" s="139"/>
      <c r="D84" s="11"/>
      <c r="F84" s="199"/>
      <c r="G84" s="199"/>
      <c r="H84" s="199"/>
      <c r="I84" s="147"/>
      <c r="J84" s="199"/>
      <c r="K84" s="199"/>
      <c r="L84" s="199"/>
      <c r="M84" s="17"/>
      <c r="N84" s="17"/>
      <c r="O84" s="17"/>
      <c r="P84" s="17"/>
    </row>
    <row r="85" spans="1:16" x14ac:dyDescent="0.4">
      <c r="A85" s="13" t="s">
        <v>235</v>
      </c>
      <c r="C85" s="139"/>
      <c r="D85" s="11"/>
      <c r="F85" s="16"/>
      <c r="G85" s="16"/>
      <c r="H85" s="16"/>
      <c r="I85" s="18"/>
      <c r="J85" s="16"/>
      <c r="K85" s="16"/>
      <c r="L85" s="16"/>
      <c r="M85" s="17"/>
      <c r="N85" s="17"/>
      <c r="O85" s="17"/>
      <c r="P85" s="17"/>
    </row>
    <row r="86" spans="1:16" x14ac:dyDescent="0.4">
      <c r="C86" s="139"/>
      <c r="D86" s="11"/>
      <c r="F86" s="16"/>
      <c r="G86" s="16"/>
      <c r="H86" s="16"/>
      <c r="I86" s="18"/>
      <c r="J86" s="16"/>
      <c r="K86" s="16"/>
      <c r="L86" s="16"/>
      <c r="M86" s="17"/>
      <c r="N86" s="17"/>
      <c r="O86" s="17"/>
      <c r="P86" s="17"/>
    </row>
    <row r="87" spans="1:16" x14ac:dyDescent="0.4">
      <c r="C87" s="139"/>
      <c r="D87" s="11"/>
      <c r="F87" s="16"/>
      <c r="G87" s="16"/>
      <c r="H87" s="16"/>
      <c r="I87" s="18"/>
      <c r="J87" s="16"/>
      <c r="K87" s="16"/>
      <c r="L87" s="16"/>
      <c r="M87" s="17"/>
      <c r="N87" s="17"/>
      <c r="O87" s="17"/>
      <c r="P87" s="17"/>
    </row>
    <row r="88" spans="1:16" x14ac:dyDescent="0.4">
      <c r="C88" s="139"/>
      <c r="D88" s="11"/>
      <c r="F88" s="16"/>
      <c r="G88" s="16"/>
      <c r="H88" s="16"/>
      <c r="I88" s="18"/>
      <c r="J88" s="16"/>
      <c r="K88" s="16"/>
      <c r="L88" s="16"/>
      <c r="M88" s="17"/>
      <c r="N88" s="17"/>
      <c r="O88" s="17"/>
      <c r="P88" s="17"/>
    </row>
    <row r="89" spans="1:16" x14ac:dyDescent="0.4">
      <c r="C89" s="139"/>
      <c r="D89" s="11"/>
      <c r="F89" s="16"/>
      <c r="G89" s="16"/>
      <c r="H89" s="16"/>
      <c r="I89" s="18"/>
      <c r="J89" s="16"/>
      <c r="K89" s="16"/>
      <c r="L89" s="16"/>
      <c r="M89" s="17"/>
      <c r="N89" s="17"/>
      <c r="O89" s="17"/>
      <c r="P89" s="17"/>
    </row>
    <row r="90" spans="1:16" x14ac:dyDescent="0.4">
      <c r="C90" s="139"/>
      <c r="D90" s="11"/>
      <c r="F90" s="16"/>
      <c r="G90" s="16"/>
      <c r="H90" s="16"/>
      <c r="I90" s="18"/>
      <c r="J90" s="16"/>
      <c r="K90" s="16"/>
      <c r="L90" s="16"/>
      <c r="M90" s="17"/>
      <c r="N90" s="17"/>
      <c r="O90" s="17"/>
      <c r="P90" s="17"/>
    </row>
    <row r="91" spans="1:16" x14ac:dyDescent="0.4">
      <c r="C91" s="139"/>
      <c r="D91" s="11"/>
      <c r="F91" s="16"/>
      <c r="G91" s="16"/>
      <c r="H91" s="16"/>
      <c r="I91" s="18"/>
      <c r="J91" s="16"/>
      <c r="K91" s="16"/>
      <c r="L91" s="16"/>
      <c r="M91" s="17"/>
      <c r="N91" s="17"/>
      <c r="O91" s="17"/>
      <c r="P91" s="17"/>
    </row>
    <row r="92" spans="1:16" x14ac:dyDescent="0.4">
      <c r="J92" s="16"/>
      <c r="K92" s="16"/>
      <c r="L92" s="16"/>
      <c r="M92" s="17"/>
      <c r="N92" s="17"/>
      <c r="O92" s="17"/>
      <c r="P92" s="17"/>
    </row>
    <row r="93" spans="1:16" x14ac:dyDescent="0.4">
      <c r="A93" s="13"/>
      <c r="J93" s="16"/>
      <c r="K93" s="16"/>
      <c r="L93" s="16"/>
      <c r="M93" s="17"/>
      <c r="N93" s="17"/>
      <c r="O93" s="17"/>
      <c r="P93" s="17"/>
    </row>
    <row r="94" spans="1:16" x14ac:dyDescent="0.4">
      <c r="A94" s="13"/>
      <c r="J94" s="16"/>
      <c r="K94" s="16"/>
      <c r="L94" s="16"/>
      <c r="M94" s="17"/>
      <c r="N94" s="17"/>
      <c r="O94" s="17"/>
      <c r="P94" s="17"/>
    </row>
    <row r="95" spans="1:16" x14ac:dyDescent="0.4">
      <c r="J95" s="16"/>
      <c r="K95" s="16"/>
      <c r="L95" s="16"/>
      <c r="M95" s="17"/>
      <c r="N95" s="17"/>
      <c r="O95" s="17"/>
      <c r="P95" s="17"/>
    </row>
    <row r="96" spans="1:16" x14ac:dyDescent="0.4">
      <c r="A96" s="207"/>
      <c r="B96" s="24" t="s">
        <v>149</v>
      </c>
      <c r="C96" s="207"/>
      <c r="D96" s="24"/>
      <c r="F96" s="24" t="s">
        <v>149</v>
      </c>
      <c r="G96" s="24"/>
      <c r="I96" s="207"/>
      <c r="J96" s="207"/>
      <c r="K96" s="207"/>
      <c r="L96" s="207"/>
      <c r="M96" s="17"/>
      <c r="N96" s="17"/>
      <c r="O96" s="17"/>
      <c r="P96" s="17"/>
    </row>
    <row r="97" spans="1:16" x14ac:dyDescent="0.4">
      <c r="A97" s="214"/>
      <c r="B97" s="214"/>
      <c r="C97" s="214"/>
      <c r="D97" s="214"/>
      <c r="E97" s="214"/>
      <c r="F97" s="214"/>
      <c r="G97" s="214"/>
      <c r="H97" s="214"/>
      <c r="I97" s="214"/>
      <c r="J97" s="214"/>
      <c r="K97" s="214"/>
      <c r="L97" s="214"/>
      <c r="M97" s="17"/>
      <c r="N97" s="17"/>
      <c r="O97" s="17"/>
      <c r="P97" s="17"/>
    </row>
    <row r="98" spans="1:16" x14ac:dyDescent="0.4">
      <c r="A98" s="7" t="s">
        <v>205</v>
      </c>
      <c r="B98" s="24"/>
      <c r="C98" s="207"/>
      <c r="D98" s="24"/>
      <c r="E98" s="24"/>
      <c r="F98" s="24"/>
      <c r="G98" s="24"/>
      <c r="I98" s="24"/>
      <c r="J98" s="24"/>
      <c r="K98" s="24"/>
      <c r="L98" s="24"/>
      <c r="M98" s="17"/>
      <c r="N98" s="17"/>
      <c r="O98" s="17"/>
      <c r="P98" s="17"/>
    </row>
    <row r="99" spans="1:16" x14ac:dyDescent="0.4">
      <c r="A99" s="24"/>
      <c r="B99" s="25"/>
      <c r="C99" s="207"/>
      <c r="I99" s="207"/>
      <c r="J99" s="207"/>
      <c r="K99" s="207"/>
      <c r="M99" s="17"/>
      <c r="N99" s="17"/>
      <c r="O99" s="17"/>
      <c r="P99" s="17"/>
    </row>
    <row r="100" spans="1:16" x14ac:dyDescent="0.4">
      <c r="A100" s="215" t="s">
        <v>131</v>
      </c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  <c r="L100" s="215"/>
      <c r="M100" s="17"/>
      <c r="N100" s="17"/>
      <c r="O100" s="17"/>
      <c r="P100" s="17"/>
    </row>
    <row r="101" spans="1:16" x14ac:dyDescent="0.4">
      <c r="A101" s="215" t="s">
        <v>259</v>
      </c>
      <c r="B101" s="215"/>
      <c r="C101" s="215"/>
      <c r="D101" s="215"/>
      <c r="E101" s="215"/>
      <c r="F101" s="215"/>
      <c r="G101" s="215"/>
      <c r="H101" s="215"/>
      <c r="I101" s="215"/>
      <c r="J101" s="215"/>
      <c r="K101" s="215"/>
      <c r="L101" s="215"/>
      <c r="M101" s="17"/>
      <c r="N101" s="17"/>
      <c r="O101" s="17"/>
      <c r="P101" s="17"/>
    </row>
    <row r="102" spans="1:16" x14ac:dyDescent="0.4">
      <c r="A102" s="215" t="str">
        <f>A5</f>
        <v>AS AT SEPTEMBER 30, 2017</v>
      </c>
      <c r="B102" s="215"/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17"/>
      <c r="N102" s="17"/>
      <c r="O102" s="17"/>
      <c r="P102" s="17"/>
    </row>
    <row r="103" spans="1:16" x14ac:dyDescent="0.4">
      <c r="F103" s="216" t="s">
        <v>132</v>
      </c>
      <c r="G103" s="216"/>
      <c r="H103" s="216"/>
      <c r="I103" s="216"/>
      <c r="J103" s="216"/>
      <c r="K103" s="216"/>
      <c r="L103" s="216"/>
      <c r="M103" s="17"/>
      <c r="N103" s="17"/>
      <c r="O103" s="17"/>
      <c r="P103" s="17"/>
    </row>
    <row r="104" spans="1:16" x14ac:dyDescent="0.4">
      <c r="F104" s="217" t="s">
        <v>211</v>
      </c>
      <c r="G104" s="217"/>
      <c r="H104" s="217"/>
      <c r="J104" s="217" t="s">
        <v>212</v>
      </c>
      <c r="K104" s="217"/>
      <c r="L104" s="217"/>
      <c r="M104" s="17"/>
      <c r="N104" s="17"/>
      <c r="O104" s="17"/>
      <c r="P104" s="17"/>
    </row>
    <row r="105" spans="1:16" x14ac:dyDescent="0.4">
      <c r="D105" s="178" t="s">
        <v>133</v>
      </c>
      <c r="E105" s="27"/>
      <c r="F105" s="181" t="str">
        <f>F56</f>
        <v>September 30, 2017</v>
      </c>
      <c r="G105" s="182"/>
      <c r="H105" s="181" t="str">
        <f>H56</f>
        <v>December 31, 2016</v>
      </c>
      <c r="J105" s="181" t="str">
        <f>J56</f>
        <v>September 30, 2017</v>
      </c>
      <c r="K105" s="182"/>
      <c r="L105" s="181" t="str">
        <f>L56</f>
        <v>December 31, 2016</v>
      </c>
      <c r="M105" s="17"/>
      <c r="N105" s="17"/>
      <c r="O105" s="17"/>
      <c r="P105" s="17"/>
    </row>
    <row r="106" spans="1:16" x14ac:dyDescent="0.4">
      <c r="A106" s="207"/>
      <c r="B106" s="207"/>
      <c r="C106" s="207"/>
      <c r="D106" s="27"/>
      <c r="E106" s="27"/>
      <c r="F106" s="209" t="s">
        <v>134</v>
      </c>
      <c r="G106" s="209"/>
      <c r="H106" s="35" t="s">
        <v>135</v>
      </c>
      <c r="I106" s="13"/>
      <c r="J106" s="209" t="s">
        <v>134</v>
      </c>
      <c r="K106" s="209"/>
      <c r="L106" s="35" t="s">
        <v>135</v>
      </c>
      <c r="M106" s="17"/>
      <c r="N106" s="17"/>
      <c r="O106" s="17"/>
      <c r="P106" s="17"/>
    </row>
    <row r="107" spans="1:16" x14ac:dyDescent="0.4">
      <c r="A107" s="207"/>
      <c r="B107" s="207"/>
      <c r="C107" s="207"/>
      <c r="D107" s="27"/>
      <c r="E107" s="27"/>
      <c r="F107" s="20" t="s">
        <v>136</v>
      </c>
      <c r="G107" s="20"/>
      <c r="H107" s="20"/>
      <c r="J107" s="20" t="s">
        <v>136</v>
      </c>
      <c r="K107" s="20"/>
      <c r="L107" s="20"/>
      <c r="M107" s="17"/>
      <c r="N107" s="17"/>
      <c r="O107" s="17"/>
      <c r="P107" s="17"/>
    </row>
    <row r="108" spans="1:16" x14ac:dyDescent="0.4">
      <c r="A108" s="139" t="s">
        <v>155</v>
      </c>
      <c r="F108" s="28"/>
      <c r="G108" s="28"/>
      <c r="H108" s="29"/>
      <c r="J108" s="28"/>
      <c r="K108" s="28"/>
      <c r="L108" s="28"/>
      <c r="M108" s="17"/>
      <c r="N108" s="17"/>
      <c r="O108" s="17"/>
      <c r="P108" s="17"/>
    </row>
    <row r="109" spans="1:16" x14ac:dyDescent="0.4">
      <c r="B109" s="7" t="s">
        <v>316</v>
      </c>
      <c r="F109" s="149"/>
      <c r="G109" s="149"/>
      <c r="H109" s="149"/>
      <c r="I109" s="147"/>
      <c r="J109" s="199"/>
      <c r="K109" s="199"/>
      <c r="L109" s="198"/>
      <c r="M109" s="17"/>
      <c r="N109" s="17"/>
      <c r="O109" s="17"/>
      <c r="P109" s="17"/>
    </row>
    <row r="110" spans="1:16" x14ac:dyDescent="0.4">
      <c r="B110" s="7" t="s">
        <v>156</v>
      </c>
      <c r="F110" s="149"/>
      <c r="G110" s="149"/>
      <c r="H110" s="149"/>
      <c r="I110" s="147"/>
      <c r="J110" s="199"/>
      <c r="K110" s="199"/>
      <c r="L110" s="198"/>
      <c r="M110" s="17"/>
      <c r="N110" s="17"/>
      <c r="O110" s="17"/>
      <c r="P110" s="17"/>
    </row>
    <row r="111" spans="1:16" ht="18.75" thickBot="1" x14ac:dyDescent="0.45">
      <c r="C111" s="45" t="s">
        <v>317</v>
      </c>
      <c r="D111" s="207">
        <v>22</v>
      </c>
      <c r="F111" s="159">
        <v>705918641</v>
      </c>
      <c r="G111" s="160"/>
      <c r="H111" s="159">
        <v>705918641</v>
      </c>
      <c r="I111" s="147"/>
      <c r="J111" s="159">
        <v>705918641</v>
      </c>
      <c r="K111" s="160"/>
      <c r="L111" s="159">
        <v>705918641</v>
      </c>
      <c r="M111" s="17"/>
      <c r="N111" s="17"/>
      <c r="O111" s="17"/>
      <c r="P111" s="17"/>
    </row>
    <row r="112" spans="1:16" ht="18.75" thickTop="1" x14ac:dyDescent="0.4">
      <c r="B112" s="7" t="s">
        <v>197</v>
      </c>
      <c r="F112" s="149"/>
      <c r="G112" s="149"/>
      <c r="H112" s="149"/>
      <c r="I112" s="147"/>
      <c r="J112" s="198"/>
      <c r="K112" s="198"/>
      <c r="L112" s="198"/>
      <c r="M112" s="17"/>
      <c r="N112" s="17"/>
      <c r="O112" s="17"/>
      <c r="P112" s="17"/>
    </row>
    <row r="113" spans="1:19" x14ac:dyDescent="0.4">
      <c r="C113" s="45" t="s">
        <v>346</v>
      </c>
      <c r="D113" s="207">
        <v>22</v>
      </c>
      <c r="F113" s="198">
        <v>704700608.25</v>
      </c>
      <c r="G113" s="198"/>
      <c r="H113" s="198">
        <v>704700608.25</v>
      </c>
      <c r="I113" s="198"/>
      <c r="J113" s="198">
        <v>704700608.25</v>
      </c>
      <c r="K113" s="198"/>
      <c r="L113" s="198">
        <v>704700608.25</v>
      </c>
      <c r="M113" s="17"/>
      <c r="N113" s="17"/>
      <c r="O113" s="17"/>
      <c r="P113" s="17"/>
    </row>
    <row r="114" spans="1:19" x14ac:dyDescent="0.4">
      <c r="B114" s="7" t="s">
        <v>347</v>
      </c>
      <c r="C114" s="42"/>
      <c r="F114" s="198">
        <f>+'Changed-Conso'!H34</f>
        <v>144890157.11000001</v>
      </c>
      <c r="G114" s="198"/>
      <c r="H114" s="198">
        <v>144890157.11000001</v>
      </c>
      <c r="I114" s="147"/>
      <c r="J114" s="198">
        <f>+'Changed-Com'!H30</f>
        <v>144890157.11000001</v>
      </c>
      <c r="K114" s="198"/>
      <c r="L114" s="198">
        <v>144890157.11000001</v>
      </c>
      <c r="M114" s="17"/>
      <c r="N114" s="17"/>
      <c r="O114" s="17"/>
      <c r="P114" s="17"/>
    </row>
    <row r="115" spans="1:19" x14ac:dyDescent="0.4">
      <c r="B115" s="7" t="s">
        <v>157</v>
      </c>
      <c r="F115" s="198"/>
      <c r="G115" s="198"/>
      <c r="H115" s="198"/>
      <c r="I115" s="147"/>
      <c r="J115" s="198"/>
      <c r="K115" s="198"/>
      <c r="L115" s="198"/>
      <c r="M115" s="17"/>
      <c r="N115" s="17"/>
      <c r="O115" s="17"/>
      <c r="P115" s="17"/>
    </row>
    <row r="116" spans="1:19" x14ac:dyDescent="0.4">
      <c r="C116" s="7" t="s">
        <v>158</v>
      </c>
      <c r="F116" s="153">
        <f>+'Changed-Conso'!L34</f>
        <v>70591864.099999994</v>
      </c>
      <c r="G116" s="153"/>
      <c r="H116" s="153">
        <v>70591864.099999994</v>
      </c>
      <c r="I116" s="147"/>
      <c r="J116" s="153">
        <f>+'Changed-Com'!L30</f>
        <v>70591864.099999994</v>
      </c>
      <c r="K116" s="153"/>
      <c r="L116" s="153">
        <v>70591864.099999994</v>
      </c>
      <c r="M116" s="17"/>
      <c r="N116" s="17"/>
      <c r="O116" s="17"/>
      <c r="P116" s="17"/>
    </row>
    <row r="117" spans="1:19" x14ac:dyDescent="0.4">
      <c r="C117" s="7" t="s">
        <v>159</v>
      </c>
      <c r="D117" s="31"/>
      <c r="F117" s="199">
        <f>+'Changed-Conso'!N34</f>
        <v>1497077817.9300001</v>
      </c>
      <c r="G117" s="199"/>
      <c r="H117" s="199">
        <v>1561841705.8499999</v>
      </c>
      <c r="I117" s="152"/>
      <c r="J117" s="199">
        <f>+'Changed-Com'!N30</f>
        <v>391955881.38000005</v>
      </c>
      <c r="K117" s="199"/>
      <c r="L117" s="199">
        <v>690823962.70000005</v>
      </c>
      <c r="M117" s="17"/>
      <c r="N117" s="17"/>
      <c r="O117" s="17"/>
      <c r="P117" s="17"/>
    </row>
    <row r="118" spans="1:19" x14ac:dyDescent="0.4">
      <c r="B118" s="7" t="s">
        <v>248</v>
      </c>
      <c r="D118" s="7"/>
      <c r="E118" s="7"/>
      <c r="F118" s="148">
        <f>+'Changed-Conso'!V34</f>
        <v>15909452.880000016</v>
      </c>
      <c r="G118" s="199"/>
      <c r="H118" s="148">
        <v>88770937.790000007</v>
      </c>
      <c r="I118" s="147"/>
      <c r="J118" s="148">
        <f>+'Changed-Com'!P30</f>
        <v>0</v>
      </c>
      <c r="K118" s="199"/>
      <c r="L118" s="148">
        <v>0</v>
      </c>
      <c r="M118" s="17"/>
      <c r="N118" s="17"/>
      <c r="O118" s="17"/>
      <c r="P118" s="17"/>
    </row>
    <row r="119" spans="1:19" x14ac:dyDescent="0.4">
      <c r="C119" s="18" t="s">
        <v>292</v>
      </c>
      <c r="F119" s="198">
        <f>SUM(F113:F118)</f>
        <v>2433169900.2700005</v>
      </c>
      <c r="G119" s="198"/>
      <c r="H119" s="198">
        <f>SUM(H113:H118)</f>
        <v>2570795273.0999999</v>
      </c>
      <c r="I119" s="147"/>
      <c r="J119" s="198">
        <f>SUM(J113:J118)</f>
        <v>1312138510.8400002</v>
      </c>
      <c r="K119" s="198"/>
      <c r="L119" s="198">
        <f>SUM(L113:L118)</f>
        <v>1611006592.1600001</v>
      </c>
      <c r="M119" s="17"/>
      <c r="N119" s="17"/>
      <c r="O119" s="17"/>
      <c r="P119" s="17"/>
    </row>
    <row r="120" spans="1:19" x14ac:dyDescent="0.4">
      <c r="B120" s="7" t="s">
        <v>252</v>
      </c>
      <c r="F120" s="161">
        <f>+'Changed-Conso'!Z34</f>
        <v>78748263.479999989</v>
      </c>
      <c r="G120" s="160"/>
      <c r="H120" s="161">
        <v>56736251.079999998</v>
      </c>
      <c r="I120" s="147"/>
      <c r="J120" s="148">
        <v>0</v>
      </c>
      <c r="K120" s="199"/>
      <c r="L120" s="148">
        <v>0</v>
      </c>
      <c r="M120" s="17"/>
      <c r="N120" s="17"/>
      <c r="O120" s="17"/>
      <c r="P120" s="17"/>
    </row>
    <row r="121" spans="1:19" x14ac:dyDescent="0.4">
      <c r="C121" s="18" t="s">
        <v>312</v>
      </c>
      <c r="F121" s="198">
        <f>+F120+F119</f>
        <v>2511918163.7500005</v>
      </c>
      <c r="G121" s="198"/>
      <c r="H121" s="198">
        <f>+H120+H119</f>
        <v>2627531524.1799998</v>
      </c>
      <c r="I121" s="147"/>
      <c r="J121" s="198">
        <f>+J120+J119</f>
        <v>1312138510.8400002</v>
      </c>
      <c r="K121" s="198"/>
      <c r="L121" s="198">
        <f>+L120+L119</f>
        <v>1611006592.1600001</v>
      </c>
      <c r="M121" s="17"/>
      <c r="N121" s="17"/>
      <c r="O121" s="17"/>
      <c r="P121" s="17"/>
    </row>
    <row r="122" spans="1:19" ht="18.75" thickBot="1" x14ac:dyDescent="0.45">
      <c r="A122" s="18" t="s">
        <v>160</v>
      </c>
      <c r="F122" s="154">
        <f>+F121+F83</f>
        <v>2813581100.8100004</v>
      </c>
      <c r="G122" s="199"/>
      <c r="H122" s="154">
        <f>+H121+H83</f>
        <v>2860218925.4299998</v>
      </c>
      <c r="I122" s="147"/>
      <c r="J122" s="154">
        <f>+J121+J83</f>
        <v>1750826967.1600001</v>
      </c>
      <c r="K122" s="199"/>
      <c r="L122" s="154">
        <f>+L121+L83</f>
        <v>2202749088.8000002</v>
      </c>
      <c r="M122" s="184">
        <f>F122-F40</f>
        <v>0</v>
      </c>
      <c r="N122" s="17"/>
      <c r="O122" s="184">
        <f>H122-H40</f>
        <v>0</v>
      </c>
      <c r="P122" s="17"/>
      <c r="Q122" s="184">
        <f>J122-J40</f>
        <v>0</v>
      </c>
      <c r="S122" s="184">
        <f>L122-L40</f>
        <v>0</v>
      </c>
    </row>
    <row r="123" spans="1:19" ht="18.75" thickTop="1" x14ac:dyDescent="0.4">
      <c r="F123" s="158"/>
      <c r="G123" s="158"/>
      <c r="H123" s="158"/>
      <c r="I123" s="147"/>
      <c r="J123" s="198"/>
      <c r="K123" s="198"/>
      <c r="L123" s="198"/>
    </row>
    <row r="124" spans="1:19" x14ac:dyDescent="0.4">
      <c r="A124" s="13" t="s">
        <v>235</v>
      </c>
      <c r="F124" s="199"/>
      <c r="G124" s="199"/>
      <c r="H124" s="199"/>
      <c r="I124" s="147"/>
      <c r="J124" s="199"/>
      <c r="K124" s="199"/>
      <c r="L124" s="199"/>
      <c r="M124" s="17"/>
      <c r="N124" s="17"/>
      <c r="O124" s="17"/>
      <c r="P124" s="17"/>
    </row>
    <row r="125" spans="1:19" x14ac:dyDescent="0.4">
      <c r="F125" s="16"/>
      <c r="G125" s="16"/>
      <c r="H125" s="16"/>
      <c r="J125" s="16"/>
      <c r="K125" s="16"/>
      <c r="L125" s="16"/>
      <c r="M125" s="17"/>
      <c r="N125" s="17"/>
      <c r="O125" s="17"/>
      <c r="P125" s="17"/>
    </row>
    <row r="126" spans="1:19" x14ac:dyDescent="0.4">
      <c r="F126" s="16"/>
      <c r="G126" s="16"/>
      <c r="H126" s="16"/>
      <c r="J126" s="16"/>
      <c r="K126" s="16"/>
      <c r="L126" s="16"/>
      <c r="M126" s="17"/>
      <c r="N126" s="17"/>
      <c r="O126" s="17"/>
      <c r="P126" s="17"/>
    </row>
    <row r="127" spans="1:19" x14ac:dyDescent="0.4">
      <c r="F127" s="16"/>
      <c r="G127" s="16"/>
      <c r="H127" s="16"/>
      <c r="J127" s="16"/>
      <c r="K127" s="16"/>
      <c r="L127" s="16"/>
      <c r="M127" s="17"/>
      <c r="N127" s="17"/>
      <c r="O127" s="17"/>
      <c r="P127" s="17"/>
    </row>
    <row r="128" spans="1:19" x14ac:dyDescent="0.4">
      <c r="F128" s="16"/>
      <c r="G128" s="16"/>
      <c r="H128" s="16"/>
      <c r="J128" s="16"/>
      <c r="K128" s="16"/>
      <c r="L128" s="16"/>
      <c r="M128" s="17"/>
      <c r="N128" s="17"/>
      <c r="O128" s="17"/>
      <c r="P128" s="17"/>
    </row>
    <row r="129" spans="1:16" x14ac:dyDescent="0.4">
      <c r="F129" s="16"/>
      <c r="G129" s="16"/>
      <c r="H129" s="16"/>
      <c r="J129" s="16"/>
      <c r="K129" s="16"/>
      <c r="L129" s="16"/>
      <c r="M129" s="17"/>
      <c r="N129" s="17"/>
      <c r="O129" s="17"/>
      <c r="P129" s="17"/>
    </row>
    <row r="130" spans="1:16" x14ac:dyDescent="0.4">
      <c r="F130" s="16"/>
      <c r="G130" s="16"/>
      <c r="H130" s="16"/>
      <c r="J130" s="16"/>
      <c r="K130" s="16"/>
      <c r="L130" s="16"/>
      <c r="M130" s="17"/>
      <c r="N130" s="17"/>
      <c r="O130" s="17"/>
      <c r="P130" s="17"/>
    </row>
    <row r="131" spans="1:16" x14ac:dyDescent="0.4">
      <c r="F131" s="16"/>
      <c r="G131" s="16"/>
      <c r="H131" s="16"/>
      <c r="J131" s="16"/>
      <c r="K131" s="16"/>
      <c r="L131" s="16"/>
      <c r="M131" s="17"/>
      <c r="N131" s="17"/>
      <c r="O131" s="17"/>
      <c r="P131" s="17"/>
    </row>
    <row r="132" spans="1:16" x14ac:dyDescent="0.4">
      <c r="F132" s="16"/>
      <c r="G132" s="16"/>
      <c r="H132" s="16"/>
      <c r="J132" s="16"/>
      <c r="K132" s="16"/>
      <c r="L132" s="16"/>
      <c r="M132" s="17"/>
      <c r="N132" s="17"/>
      <c r="O132" s="17"/>
      <c r="P132" s="17"/>
    </row>
    <row r="133" spans="1:16" x14ac:dyDescent="0.4">
      <c r="J133" s="16"/>
      <c r="K133" s="16"/>
      <c r="L133" s="16"/>
      <c r="M133" s="17"/>
      <c r="N133" s="17"/>
      <c r="O133" s="17"/>
      <c r="P133" s="17"/>
    </row>
    <row r="134" spans="1:16" x14ac:dyDescent="0.4">
      <c r="A134" s="13"/>
      <c r="J134" s="16"/>
      <c r="K134" s="16"/>
      <c r="L134" s="16"/>
      <c r="M134" s="17"/>
      <c r="N134" s="17"/>
      <c r="O134" s="17"/>
      <c r="P134" s="17"/>
    </row>
    <row r="135" spans="1:16" x14ac:dyDescent="0.4">
      <c r="A135" s="13"/>
      <c r="J135" s="16"/>
      <c r="K135" s="16"/>
      <c r="L135" s="16"/>
      <c r="M135" s="17"/>
      <c r="N135" s="17"/>
      <c r="O135" s="17"/>
      <c r="P135" s="17"/>
    </row>
    <row r="136" spans="1:16" x14ac:dyDescent="0.4">
      <c r="A136" s="13"/>
      <c r="J136" s="16"/>
      <c r="K136" s="16"/>
      <c r="L136" s="16"/>
      <c r="M136" s="17"/>
      <c r="N136" s="17"/>
      <c r="O136" s="17"/>
      <c r="P136" s="17"/>
    </row>
    <row r="137" spans="1:16" x14ac:dyDescent="0.4">
      <c r="A137" s="13"/>
      <c r="J137" s="16"/>
      <c r="K137" s="16"/>
      <c r="L137" s="16"/>
      <c r="M137" s="17"/>
      <c r="N137" s="17"/>
      <c r="O137" s="17"/>
      <c r="P137" s="17"/>
    </row>
    <row r="138" spans="1:16" x14ac:dyDescent="0.4">
      <c r="J138" s="16"/>
      <c r="K138" s="16"/>
      <c r="L138" s="16"/>
      <c r="M138" s="17"/>
      <c r="N138" s="17"/>
      <c r="O138" s="17"/>
      <c r="P138" s="17"/>
    </row>
    <row r="139" spans="1:16" x14ac:dyDescent="0.4">
      <c r="A139" s="207"/>
      <c r="B139" s="24" t="s">
        <v>149</v>
      </c>
      <c r="C139" s="207"/>
      <c r="D139" s="24"/>
      <c r="F139" s="24" t="s">
        <v>149</v>
      </c>
      <c r="G139" s="24"/>
      <c r="I139" s="207"/>
      <c r="J139" s="207"/>
      <c r="K139" s="207"/>
      <c r="L139" s="207"/>
      <c r="M139" s="17"/>
      <c r="N139" s="17"/>
      <c r="O139" s="17"/>
      <c r="P139" s="17"/>
    </row>
    <row r="140" spans="1:16" ht="17.25" customHeight="1" x14ac:dyDescent="0.4">
      <c r="A140" s="214"/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17"/>
      <c r="N140" s="17"/>
      <c r="O140" s="17"/>
      <c r="P140" s="17"/>
    </row>
    <row r="141" spans="1:16" hidden="1" x14ac:dyDescent="0.4">
      <c r="D141" s="207" t="s">
        <v>267</v>
      </c>
      <c r="F141" s="22">
        <f>+F122-F40</f>
        <v>0</v>
      </c>
      <c r="G141" s="22"/>
      <c r="H141" s="22">
        <f>+H122-H40</f>
        <v>0</v>
      </c>
      <c r="J141" s="22">
        <f>+J122-J40</f>
        <v>0</v>
      </c>
      <c r="K141" s="22"/>
      <c r="L141" s="22">
        <f>+L122-L40</f>
        <v>0</v>
      </c>
      <c r="M141" s="17"/>
      <c r="N141" s="17"/>
      <c r="O141" s="17"/>
      <c r="P141" s="17"/>
    </row>
  </sheetData>
  <mergeCells count="23">
    <mergeCell ref="A3:L3"/>
    <mergeCell ref="A4:L4"/>
    <mergeCell ref="F6:L6"/>
    <mergeCell ref="F7:H7"/>
    <mergeCell ref="J7:L7"/>
    <mergeCell ref="A5:L5"/>
    <mergeCell ref="A10:C10"/>
    <mergeCell ref="A59:C59"/>
    <mergeCell ref="A48:L48"/>
    <mergeCell ref="F54:L54"/>
    <mergeCell ref="A51:L51"/>
    <mergeCell ref="A53:L53"/>
    <mergeCell ref="J55:L55"/>
    <mergeCell ref="A52:L52"/>
    <mergeCell ref="F55:H55"/>
    <mergeCell ref="A140:L140"/>
    <mergeCell ref="A101:L101"/>
    <mergeCell ref="F103:L103"/>
    <mergeCell ref="A102:L102"/>
    <mergeCell ref="A97:L97"/>
    <mergeCell ref="F104:H104"/>
    <mergeCell ref="J104:L104"/>
    <mergeCell ref="A100:L100"/>
  </mergeCells>
  <phoneticPr fontId="0" type="noConversion"/>
  <printOptions horizontalCentered="1"/>
  <pageMargins left="0.59055118110236227" right="0" top="0.51181102362204722" bottom="0.27559055118110237" header="0.35433070866141736" footer="0"/>
  <pageSetup paperSize="9" scale="95" orientation="portrait" useFirstPageNumber="1" r:id="rId1"/>
  <headerFooter alignWithMargins="0">
    <oddFooter>&amp;C&amp;P</oddFooter>
  </headerFooter>
  <rowBreaks count="2" manualBreakCount="2">
    <brk id="48" max="12" man="1"/>
    <brk id="9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0"/>
  <sheetViews>
    <sheetView view="pageBreakPreview" zoomScaleNormal="100" zoomScaleSheetLayoutView="100" workbookViewId="0">
      <selection activeCell="C28" sqref="C28"/>
    </sheetView>
  </sheetViews>
  <sheetFormatPr defaultRowHeight="18" x14ac:dyDescent="0.4"/>
  <cols>
    <col min="1" max="2" width="2.7109375" style="7" customWidth="1"/>
    <col min="3" max="3" width="30.85546875" style="7" customWidth="1"/>
    <col min="4" max="4" width="5.42578125" style="207" customWidth="1"/>
    <col min="5" max="5" width="0.85546875" style="207" customWidth="1"/>
    <col min="6" max="6" width="14.140625" style="207" customWidth="1"/>
    <col min="7" max="7" width="0.85546875" style="207" customWidth="1"/>
    <col min="8" max="8" width="15.140625" style="207" customWidth="1"/>
    <col min="9" max="9" width="0.85546875" style="7" customWidth="1"/>
    <col min="10" max="10" width="13.7109375" style="9" customWidth="1"/>
    <col min="11" max="11" width="0.85546875" style="7" customWidth="1"/>
    <col min="12" max="12" width="15.85546875" style="9" customWidth="1"/>
    <col min="13" max="16384" width="9.140625" style="7"/>
  </cols>
  <sheetData>
    <row r="1" spans="1:12" x14ac:dyDescent="0.4">
      <c r="A1" s="7" t="s">
        <v>205</v>
      </c>
      <c r="D1" s="33"/>
      <c r="E1" s="33"/>
      <c r="F1" s="16"/>
      <c r="G1" s="33"/>
      <c r="H1" s="16"/>
      <c r="J1" s="16"/>
      <c r="K1" s="16"/>
      <c r="L1" s="208" t="s">
        <v>269</v>
      </c>
    </row>
    <row r="2" spans="1:12" ht="8.25" customHeight="1" x14ac:dyDescent="0.4">
      <c r="D2" s="33"/>
      <c r="E2" s="33"/>
      <c r="F2" s="16"/>
      <c r="G2" s="33"/>
      <c r="H2" s="16"/>
      <c r="J2" s="16"/>
      <c r="K2" s="13"/>
      <c r="L2" s="209"/>
    </row>
    <row r="3" spans="1:12" x14ac:dyDescent="0.4">
      <c r="A3" s="220" t="s">
        <v>131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</row>
    <row r="4" spans="1:12" ht="18" customHeight="1" x14ac:dyDescent="0.4">
      <c r="A4" s="215" t="s">
        <v>161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</row>
    <row r="5" spans="1:12" ht="18" customHeight="1" x14ac:dyDescent="0.4">
      <c r="A5" s="215" t="s">
        <v>368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</row>
    <row r="6" spans="1:12" ht="6.75" customHeight="1" x14ac:dyDescent="0.4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</row>
    <row r="7" spans="1:12" ht="16.5" customHeight="1" x14ac:dyDescent="0.4">
      <c r="C7" s="205"/>
      <c r="F7" s="216" t="s">
        <v>132</v>
      </c>
      <c r="G7" s="216"/>
      <c r="H7" s="216"/>
      <c r="I7" s="216"/>
      <c r="J7" s="216"/>
      <c r="K7" s="216"/>
      <c r="L7" s="216"/>
    </row>
    <row r="8" spans="1:12" x14ac:dyDescent="0.4">
      <c r="C8" s="7" t="s">
        <v>4</v>
      </c>
      <c r="F8" s="217" t="s">
        <v>211</v>
      </c>
      <c r="G8" s="217"/>
      <c r="H8" s="217"/>
      <c r="J8" s="217" t="s">
        <v>212</v>
      </c>
      <c r="K8" s="217"/>
      <c r="L8" s="217"/>
    </row>
    <row r="9" spans="1:12" x14ac:dyDescent="0.4">
      <c r="F9" s="217" t="s">
        <v>369</v>
      </c>
      <c r="G9" s="217"/>
      <c r="H9" s="217"/>
      <c r="J9" s="217" t="s">
        <v>369</v>
      </c>
      <c r="K9" s="217"/>
      <c r="L9" s="217"/>
    </row>
    <row r="10" spans="1:12" x14ac:dyDescent="0.4">
      <c r="D10" s="178" t="s">
        <v>133</v>
      </c>
      <c r="E10" s="27"/>
      <c r="F10" s="178">
        <v>2017</v>
      </c>
      <c r="H10" s="178">
        <v>2016</v>
      </c>
      <c r="J10" s="178">
        <f>+F10</f>
        <v>2017</v>
      </c>
      <c r="K10" s="207"/>
      <c r="L10" s="178">
        <v>2016</v>
      </c>
    </row>
    <row r="11" spans="1:12" x14ac:dyDescent="0.4">
      <c r="A11" s="140" t="s">
        <v>162</v>
      </c>
      <c r="F11" s="208"/>
      <c r="G11" s="208"/>
      <c r="H11" s="208"/>
    </row>
    <row r="12" spans="1:12" x14ac:dyDescent="0.4">
      <c r="B12" s="7" t="s">
        <v>240</v>
      </c>
      <c r="F12" s="153">
        <v>426316463.66000003</v>
      </c>
      <c r="G12" s="149"/>
      <c r="H12" s="153">
        <v>319214388.13</v>
      </c>
      <c r="I12" s="147"/>
      <c r="J12" s="199">
        <v>36710904.950000003</v>
      </c>
      <c r="K12" s="147"/>
      <c r="L12" s="199">
        <v>279935545.81</v>
      </c>
    </row>
    <row r="13" spans="1:12" x14ac:dyDescent="0.4">
      <c r="B13" s="17" t="s">
        <v>209</v>
      </c>
      <c r="F13" s="153">
        <v>7459136.8399999999</v>
      </c>
      <c r="G13" s="149"/>
      <c r="H13" s="153">
        <v>156062318.65000001</v>
      </c>
      <c r="I13" s="147"/>
      <c r="J13" s="198">
        <v>0</v>
      </c>
      <c r="K13" s="147"/>
      <c r="L13" s="198">
        <v>173176751.91</v>
      </c>
    </row>
    <row r="14" spans="1:12" x14ac:dyDescent="0.4">
      <c r="B14" s="17" t="s">
        <v>328</v>
      </c>
      <c r="F14" s="153">
        <v>7994716.5999999996</v>
      </c>
      <c r="G14" s="149"/>
      <c r="H14" s="153">
        <v>60315555.130000003</v>
      </c>
      <c r="I14" s="147"/>
      <c r="J14" s="198">
        <v>7994716.5999999996</v>
      </c>
      <c r="K14" s="147"/>
      <c r="L14" s="198">
        <v>60315555.130000003</v>
      </c>
    </row>
    <row r="15" spans="1:12" x14ac:dyDescent="0.4">
      <c r="B15" s="7" t="s">
        <v>224</v>
      </c>
      <c r="F15" s="153">
        <v>29818855.609999999</v>
      </c>
      <c r="G15" s="149"/>
      <c r="H15" s="153">
        <v>31615390.260000002</v>
      </c>
      <c r="I15" s="147"/>
      <c r="J15" s="198">
        <v>29818855.609999999</v>
      </c>
      <c r="K15" s="147"/>
      <c r="L15" s="198">
        <v>31615390.260000002</v>
      </c>
    </row>
    <row r="16" spans="1:12" x14ac:dyDescent="0.4">
      <c r="B16" s="7" t="s">
        <v>163</v>
      </c>
      <c r="F16" s="158"/>
      <c r="G16" s="158"/>
      <c r="H16" s="158"/>
      <c r="I16" s="147"/>
      <c r="J16" s="198"/>
      <c r="K16" s="147"/>
      <c r="L16" s="198"/>
    </row>
    <row r="17" spans="1:12" x14ac:dyDescent="0.4">
      <c r="C17" s="7" t="s">
        <v>164</v>
      </c>
      <c r="F17" s="153">
        <v>7500948.9900000002</v>
      </c>
      <c r="G17" s="149"/>
      <c r="H17" s="153">
        <v>12958806.779999999</v>
      </c>
      <c r="I17" s="147"/>
      <c r="J17" s="199">
        <v>7597253.6600000001</v>
      </c>
      <c r="K17" s="147"/>
      <c r="L17" s="199">
        <v>13100869.470000001</v>
      </c>
    </row>
    <row r="18" spans="1:12" x14ac:dyDescent="0.4">
      <c r="C18" s="7" t="s">
        <v>198</v>
      </c>
      <c r="F18" s="153">
        <v>0</v>
      </c>
      <c r="G18" s="149"/>
      <c r="H18" s="153">
        <v>24630626</v>
      </c>
      <c r="I18" s="147"/>
      <c r="J18" s="198">
        <v>0</v>
      </c>
      <c r="K18" s="147"/>
      <c r="L18" s="198">
        <v>24630626</v>
      </c>
    </row>
    <row r="19" spans="1:12" x14ac:dyDescent="0.4">
      <c r="C19" s="7" t="s">
        <v>329</v>
      </c>
      <c r="D19" s="207" t="s">
        <v>377</v>
      </c>
      <c r="F19" s="153">
        <v>25375997.460000001</v>
      </c>
      <c r="G19" s="149"/>
      <c r="H19" s="153">
        <v>0</v>
      </c>
      <c r="I19" s="147"/>
      <c r="J19" s="198">
        <v>46807021.799999997</v>
      </c>
      <c r="K19" s="147"/>
      <c r="L19" s="198">
        <v>0</v>
      </c>
    </row>
    <row r="20" spans="1:12" x14ac:dyDescent="0.4">
      <c r="C20" s="7" t="s">
        <v>348</v>
      </c>
      <c r="F20" s="153">
        <v>23639384.309999999</v>
      </c>
      <c r="G20" s="149"/>
      <c r="H20" s="153">
        <v>0</v>
      </c>
      <c r="I20" s="147"/>
      <c r="J20" s="198">
        <v>23639384.309999999</v>
      </c>
      <c r="K20" s="147"/>
      <c r="L20" s="198">
        <v>0</v>
      </c>
    </row>
    <row r="21" spans="1:12" x14ac:dyDescent="0.4">
      <c r="C21" s="7" t="s">
        <v>141</v>
      </c>
      <c r="D21" s="13"/>
      <c r="E21" s="13"/>
      <c r="F21" s="153">
        <v>28112012.91</v>
      </c>
      <c r="G21" s="149"/>
      <c r="H21" s="153">
        <v>2258078.69</v>
      </c>
      <c r="I21" s="147"/>
      <c r="J21" s="198">
        <v>28063889.620000001</v>
      </c>
      <c r="K21" s="147"/>
      <c r="L21" s="198">
        <v>3850104.5</v>
      </c>
    </row>
    <row r="22" spans="1:12" x14ac:dyDescent="0.4">
      <c r="C22" s="7" t="s">
        <v>165</v>
      </c>
      <c r="D22" s="207">
        <v>2.1</v>
      </c>
      <c r="F22" s="151">
        <f>SUM(F12:F21)</f>
        <v>556217516.38</v>
      </c>
      <c r="G22" s="149"/>
      <c r="H22" s="151">
        <f>SUM(H12:H21)</f>
        <v>607055163.63999999</v>
      </c>
      <c r="I22" s="147"/>
      <c r="J22" s="151">
        <f>SUM(J12:J21)</f>
        <v>180632026.54999998</v>
      </c>
      <c r="K22" s="147"/>
      <c r="L22" s="151">
        <f>SUM(L12:L21)</f>
        <v>586624843.08000004</v>
      </c>
    </row>
    <row r="23" spans="1:12" ht="8.25" customHeight="1" x14ac:dyDescent="0.4">
      <c r="F23" s="149"/>
      <c r="G23" s="149"/>
      <c r="H23" s="149"/>
      <c r="I23" s="147"/>
      <c r="J23" s="149"/>
      <c r="K23" s="147"/>
      <c r="L23" s="149"/>
    </row>
    <row r="24" spans="1:12" x14ac:dyDescent="0.4">
      <c r="A24" s="7" t="s">
        <v>166</v>
      </c>
      <c r="F24" s="149"/>
      <c r="G24" s="149"/>
      <c r="H24" s="149"/>
      <c r="I24" s="147"/>
      <c r="J24" s="198"/>
      <c r="K24" s="147"/>
      <c r="L24" s="198"/>
    </row>
    <row r="25" spans="1:12" x14ac:dyDescent="0.4">
      <c r="B25" s="7" t="s">
        <v>278</v>
      </c>
      <c r="F25" s="149">
        <v>138604196.83000001</v>
      </c>
      <c r="G25" s="149"/>
      <c r="H25" s="149">
        <v>105746562.65000001</v>
      </c>
      <c r="I25" s="147"/>
      <c r="J25" s="198">
        <v>24195262.82</v>
      </c>
      <c r="K25" s="147"/>
      <c r="L25" s="198">
        <v>24939741.940000001</v>
      </c>
    </row>
    <row r="26" spans="1:12" x14ac:dyDescent="0.4">
      <c r="B26" s="7" t="s">
        <v>220</v>
      </c>
      <c r="D26" s="209"/>
      <c r="E26" s="209"/>
      <c r="F26" s="149">
        <v>44680777.859999999</v>
      </c>
      <c r="G26" s="149"/>
      <c r="H26" s="149">
        <v>47811432.219999999</v>
      </c>
      <c r="I26" s="147"/>
      <c r="J26" s="198">
        <v>43208063.880000003</v>
      </c>
      <c r="K26" s="147"/>
      <c r="L26" s="198">
        <v>46364644.390000001</v>
      </c>
    </row>
    <row r="27" spans="1:12" x14ac:dyDescent="0.4">
      <c r="B27" s="17" t="s">
        <v>310</v>
      </c>
      <c r="D27" s="207">
        <v>4.4000000000000004</v>
      </c>
      <c r="E27" s="209"/>
      <c r="F27" s="149">
        <v>0</v>
      </c>
      <c r="G27" s="149"/>
      <c r="H27" s="149">
        <v>0</v>
      </c>
      <c r="I27" s="147"/>
      <c r="J27" s="198">
        <v>28909957.670000002</v>
      </c>
      <c r="K27" s="147"/>
      <c r="L27" s="198">
        <v>0</v>
      </c>
    </row>
    <row r="28" spans="1:12" x14ac:dyDescent="0.4">
      <c r="B28" s="17" t="s">
        <v>380</v>
      </c>
      <c r="D28" s="207" t="s">
        <v>378</v>
      </c>
      <c r="E28" s="209"/>
      <c r="F28" s="149">
        <v>0</v>
      </c>
      <c r="G28" s="149"/>
      <c r="H28" s="149">
        <v>0</v>
      </c>
      <c r="I28" s="147"/>
      <c r="J28" s="198">
        <v>16096170.09</v>
      </c>
      <c r="K28" s="147"/>
      <c r="L28" s="198">
        <v>0</v>
      </c>
    </row>
    <row r="29" spans="1:12" x14ac:dyDescent="0.4">
      <c r="B29" s="7" t="s">
        <v>340</v>
      </c>
      <c r="D29" s="212"/>
      <c r="E29" s="209"/>
      <c r="F29" s="153">
        <v>0</v>
      </c>
      <c r="G29" s="149"/>
      <c r="H29" s="153">
        <v>1000000</v>
      </c>
      <c r="I29" s="147"/>
      <c r="J29" s="198">
        <v>0</v>
      </c>
      <c r="K29" s="147"/>
      <c r="L29" s="198">
        <v>2999970</v>
      </c>
    </row>
    <row r="30" spans="1:12" x14ac:dyDescent="0.4">
      <c r="B30" s="7" t="s">
        <v>221</v>
      </c>
      <c r="D30" s="31"/>
      <c r="E30" s="209"/>
      <c r="F30" s="149">
        <v>1548437.47</v>
      </c>
      <c r="G30" s="149"/>
      <c r="H30" s="149">
        <v>0</v>
      </c>
      <c r="I30" s="147"/>
      <c r="J30" s="198">
        <v>6349021.7800000003</v>
      </c>
      <c r="K30" s="147"/>
      <c r="L30" s="198">
        <v>3918356.85</v>
      </c>
    </row>
    <row r="31" spans="1:12" x14ac:dyDescent="0.4">
      <c r="C31" s="7" t="s">
        <v>167</v>
      </c>
      <c r="D31" s="207">
        <v>2.1</v>
      </c>
      <c r="F31" s="151">
        <f>SUM(F25:F30)</f>
        <v>184833412.16</v>
      </c>
      <c r="G31" s="153"/>
      <c r="H31" s="151">
        <f>SUM(H25:H30)</f>
        <v>154557994.87</v>
      </c>
      <c r="I31" s="198"/>
      <c r="J31" s="151">
        <f>SUM(J25:J30)</f>
        <v>118758476.24000001</v>
      </c>
      <c r="K31" s="198"/>
      <c r="L31" s="151">
        <f>SUM(L25:L30)</f>
        <v>78222713.179999992</v>
      </c>
    </row>
    <row r="32" spans="1:12" ht="7.5" customHeight="1" x14ac:dyDescent="0.4">
      <c r="F32" s="149"/>
      <c r="G32" s="149"/>
      <c r="H32" s="149"/>
      <c r="I32" s="147"/>
      <c r="J32" s="198"/>
      <c r="K32" s="147"/>
      <c r="L32" s="198"/>
    </row>
    <row r="33" spans="1:12" x14ac:dyDescent="0.4">
      <c r="A33" s="7" t="s">
        <v>284</v>
      </c>
      <c r="D33" s="33"/>
      <c r="E33" s="33"/>
      <c r="F33" s="198">
        <f>+F22-F31</f>
        <v>371384104.22000003</v>
      </c>
      <c r="G33" s="153"/>
      <c r="H33" s="198">
        <f>+H22-H31</f>
        <v>452497168.76999998</v>
      </c>
      <c r="I33" s="147"/>
      <c r="J33" s="198">
        <f>+J22-J31</f>
        <v>61873550.309999973</v>
      </c>
      <c r="K33" s="147"/>
      <c r="L33" s="198">
        <f>+L22-L31</f>
        <v>508402129.90000004</v>
      </c>
    </row>
    <row r="34" spans="1:12" x14ac:dyDescent="0.4">
      <c r="A34" s="7" t="s">
        <v>168</v>
      </c>
      <c r="D34" s="207">
        <v>20.100000000000001</v>
      </c>
      <c r="F34" s="162">
        <v>-20793738.18</v>
      </c>
      <c r="G34" s="149"/>
      <c r="H34" s="162">
        <v>-97377430.530000001</v>
      </c>
      <c r="I34" s="147"/>
      <c r="J34" s="148">
        <v>-20547760.469999999</v>
      </c>
      <c r="K34" s="198"/>
      <c r="L34" s="148">
        <v>-95143468.599999994</v>
      </c>
    </row>
    <row r="35" spans="1:12" ht="18.75" thickBot="1" x14ac:dyDescent="0.45">
      <c r="A35" s="18" t="s">
        <v>169</v>
      </c>
      <c r="F35" s="163">
        <f>SUM(F33:F34)</f>
        <v>350590366.04000002</v>
      </c>
      <c r="G35" s="149"/>
      <c r="H35" s="163">
        <f>SUM(H33:H34)</f>
        <v>355119738.24000001</v>
      </c>
      <c r="I35" s="147"/>
      <c r="J35" s="163">
        <f>SUM(J33:J34)</f>
        <v>41325789.839999974</v>
      </c>
      <c r="K35" s="198"/>
      <c r="L35" s="163">
        <f>SUM(L33:L34)</f>
        <v>413258661.30000007</v>
      </c>
    </row>
    <row r="36" spans="1:12" ht="6.75" customHeight="1" thickTop="1" x14ac:dyDescent="0.4">
      <c r="A36" s="18"/>
      <c r="F36" s="160"/>
      <c r="G36" s="149"/>
      <c r="H36" s="160"/>
      <c r="I36" s="147"/>
      <c r="J36" s="160"/>
      <c r="K36" s="198"/>
      <c r="L36" s="160"/>
    </row>
    <row r="37" spans="1:12" x14ac:dyDescent="0.4">
      <c r="A37" s="18" t="s">
        <v>260</v>
      </c>
      <c r="B37" s="185"/>
      <c r="C37" s="18"/>
      <c r="F37" s="160"/>
      <c r="G37" s="149"/>
      <c r="H37" s="160"/>
      <c r="I37" s="147"/>
      <c r="J37" s="160"/>
      <c r="K37" s="198"/>
      <c r="L37" s="160"/>
    </row>
    <row r="38" spans="1:12" x14ac:dyDescent="0.4">
      <c r="A38" s="18"/>
      <c r="B38" s="18" t="s">
        <v>261</v>
      </c>
      <c r="C38" s="18"/>
      <c r="F38" s="160">
        <f>+F35-F39</f>
        <v>328578353.64000005</v>
      </c>
      <c r="G38" s="160"/>
      <c r="H38" s="160">
        <f>+H35-H39</f>
        <v>408251038.22000003</v>
      </c>
      <c r="I38" s="160"/>
      <c r="J38" s="160">
        <f>J35</f>
        <v>41325789.839999974</v>
      </c>
      <c r="K38" s="160"/>
      <c r="L38" s="160">
        <f>L35</f>
        <v>413258661.30000007</v>
      </c>
    </row>
    <row r="39" spans="1:12" x14ac:dyDescent="0.4">
      <c r="A39" s="18"/>
      <c r="B39" s="7" t="s">
        <v>252</v>
      </c>
      <c r="F39" s="161">
        <v>22012012.399999999</v>
      </c>
      <c r="G39" s="199"/>
      <c r="H39" s="161">
        <v>-53131299.979999997</v>
      </c>
      <c r="I39" s="199"/>
      <c r="J39" s="198">
        <v>0</v>
      </c>
      <c r="K39" s="199"/>
      <c r="L39" s="198">
        <v>0</v>
      </c>
    </row>
    <row r="40" spans="1:12" ht="18.75" thickBot="1" x14ac:dyDescent="0.45">
      <c r="D40" s="33"/>
      <c r="E40" s="33"/>
      <c r="F40" s="154">
        <f>SUM(F38:F39)</f>
        <v>350590366.04000002</v>
      </c>
      <c r="G40" s="153"/>
      <c r="H40" s="154">
        <f>SUM(H38:H39)</f>
        <v>355119738.24000001</v>
      </c>
      <c r="I40" s="147"/>
      <c r="J40" s="154">
        <f>SUM(J38:J39)</f>
        <v>41325789.839999974</v>
      </c>
      <c r="K40" s="147"/>
      <c r="L40" s="154">
        <f>SUM(L38:L39)</f>
        <v>413258661.30000007</v>
      </c>
    </row>
    <row r="41" spans="1:12" ht="7.5" customHeight="1" thickTop="1" x14ac:dyDescent="0.4">
      <c r="F41" s="149"/>
      <c r="G41" s="149"/>
      <c r="H41" s="149"/>
      <c r="I41" s="147"/>
      <c r="J41" s="199"/>
      <c r="K41" s="147"/>
      <c r="L41" s="199"/>
    </row>
    <row r="42" spans="1:12" x14ac:dyDescent="0.4">
      <c r="A42" s="184" t="s">
        <v>272</v>
      </c>
      <c r="D42" s="30"/>
      <c r="F42" s="149"/>
      <c r="G42" s="149"/>
      <c r="H42" s="149"/>
      <c r="I42" s="147"/>
      <c r="J42" s="199"/>
      <c r="K42" s="152"/>
      <c r="L42" s="199"/>
    </row>
    <row r="43" spans="1:12" ht="18.75" thickBot="1" x14ac:dyDescent="0.45">
      <c r="B43" s="18" t="s">
        <v>215</v>
      </c>
      <c r="D43" s="207">
        <v>19</v>
      </c>
      <c r="F43" s="191">
        <f>+F38/F44</f>
        <v>5.8283324470225481E-2</v>
      </c>
      <c r="G43" s="149"/>
      <c r="H43" s="191">
        <f>+H38/H44</f>
        <v>7.7586519465904044E-2</v>
      </c>
      <c r="I43" s="147"/>
      <c r="J43" s="191">
        <f>+J38/J44</f>
        <v>7.3303806886560845E-3</v>
      </c>
      <c r="K43" s="192"/>
      <c r="L43" s="191">
        <f>+L38/L44</f>
        <v>7.8538198724990127E-2</v>
      </c>
    </row>
    <row r="44" spans="1:12" ht="19.5" thickTop="1" thickBot="1" x14ac:dyDescent="0.45">
      <c r="B44" s="18" t="s">
        <v>170</v>
      </c>
      <c r="F44" s="167">
        <v>5637604866</v>
      </c>
      <c r="G44" s="168"/>
      <c r="H44" s="167">
        <v>5261881072</v>
      </c>
      <c r="I44" s="168"/>
      <c r="J44" s="167">
        <v>5637604866</v>
      </c>
      <c r="K44" s="168"/>
      <c r="L44" s="167">
        <v>5261881072</v>
      </c>
    </row>
    <row r="45" spans="1:12" ht="6.75" customHeight="1" thickTop="1" x14ac:dyDescent="0.4">
      <c r="F45" s="198"/>
      <c r="G45" s="158"/>
      <c r="H45" s="158"/>
      <c r="I45" s="147"/>
      <c r="J45" s="198"/>
      <c r="K45" s="147"/>
      <c r="L45" s="198"/>
    </row>
    <row r="46" spans="1:12" x14ac:dyDescent="0.4">
      <c r="A46" s="184" t="s">
        <v>273</v>
      </c>
      <c r="D46" s="30"/>
      <c r="F46" s="199"/>
      <c r="G46" s="149"/>
      <c r="H46" s="149"/>
      <c r="I46" s="147"/>
      <c r="J46" s="199"/>
      <c r="K46" s="152"/>
      <c r="L46" s="199"/>
    </row>
    <row r="47" spans="1:12" ht="18.75" thickBot="1" x14ac:dyDescent="0.45">
      <c r="B47" s="18" t="s">
        <v>215</v>
      </c>
      <c r="D47" s="207">
        <v>19</v>
      </c>
      <c r="F47" s="191">
        <f>+F38/F48</f>
        <v>5.8283324470225481E-2</v>
      </c>
      <c r="G47" s="149"/>
      <c r="H47" s="191">
        <f>+H38/H48</f>
        <v>7.3820096966433352E-2</v>
      </c>
      <c r="I47" s="147"/>
      <c r="J47" s="191">
        <f>+J38/J48</f>
        <v>7.3303806886560845E-3</v>
      </c>
      <c r="K47" s="192"/>
      <c r="L47" s="191">
        <f>+L38/L48</f>
        <v>7.4725577140957122E-2</v>
      </c>
    </row>
    <row r="48" spans="1:12" ht="19.5" thickTop="1" thickBot="1" x14ac:dyDescent="0.45">
      <c r="B48" s="18" t="s">
        <v>170</v>
      </c>
      <c r="F48" s="167">
        <v>5637604866</v>
      </c>
      <c r="G48" s="170"/>
      <c r="H48" s="169">
        <v>5530350880</v>
      </c>
      <c r="I48" s="168"/>
      <c r="J48" s="167">
        <v>5637604866</v>
      </c>
      <c r="K48" s="168"/>
      <c r="L48" s="167">
        <v>5530350880</v>
      </c>
    </row>
    <row r="49" spans="1:12" ht="6" customHeight="1" thickTop="1" x14ac:dyDescent="0.4"/>
    <row r="50" spans="1:12" x14ac:dyDescent="0.4">
      <c r="A50" s="13" t="s">
        <v>235</v>
      </c>
    </row>
    <row r="51" spans="1:12" ht="14.25" customHeight="1" x14ac:dyDescent="0.4">
      <c r="A51" s="13"/>
    </row>
    <row r="52" spans="1:12" ht="16.5" customHeight="1" x14ac:dyDescent="0.4"/>
    <row r="53" spans="1:12" x14ac:dyDescent="0.4">
      <c r="A53" s="207"/>
      <c r="B53" s="24" t="s">
        <v>149</v>
      </c>
      <c r="C53" s="207"/>
      <c r="D53" s="24"/>
      <c r="F53" s="24" t="s">
        <v>149</v>
      </c>
      <c r="I53" s="207"/>
      <c r="J53" s="207"/>
      <c r="K53" s="207"/>
      <c r="L53" s="207"/>
    </row>
    <row r="54" spans="1:12" ht="8.25" customHeight="1" x14ac:dyDescent="0.4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</row>
    <row r="55" spans="1:12" x14ac:dyDescent="0.4">
      <c r="A55" s="7" t="s">
        <v>205</v>
      </c>
      <c r="D55" s="33"/>
      <c r="E55" s="33"/>
      <c r="F55" s="16"/>
      <c r="G55" s="33"/>
      <c r="H55" s="16"/>
      <c r="J55" s="16"/>
      <c r="K55" s="16"/>
      <c r="L55" s="208" t="s">
        <v>269</v>
      </c>
    </row>
    <row r="56" spans="1:12" x14ac:dyDescent="0.4">
      <c r="D56" s="33"/>
      <c r="E56" s="33"/>
      <c r="F56" s="16"/>
      <c r="G56" s="33"/>
      <c r="H56" s="16"/>
      <c r="J56" s="16"/>
      <c r="K56" s="13"/>
      <c r="L56" s="209"/>
    </row>
    <row r="57" spans="1:12" x14ac:dyDescent="0.4">
      <c r="A57" s="215" t="str">
        <f>A3</f>
        <v>THE BROOKER GROUP PUBLIC COMPANY LIMITED AND ITS SUBSIDIARIES</v>
      </c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</row>
    <row r="58" spans="1:12" x14ac:dyDescent="0.4">
      <c r="A58" s="215" t="s">
        <v>242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</row>
    <row r="59" spans="1:12" x14ac:dyDescent="0.4">
      <c r="A59" s="215" t="str">
        <f>A5</f>
        <v>FOR  THE  NINE-MONTH PERIOD ENDED SEPTEMBER 30,  2017</v>
      </c>
      <c r="B59" s="215"/>
      <c r="C59" s="215"/>
      <c r="D59" s="215"/>
      <c r="E59" s="215"/>
      <c r="F59" s="215"/>
      <c r="G59" s="215"/>
      <c r="H59" s="215"/>
      <c r="I59" s="215"/>
      <c r="J59" s="215"/>
      <c r="K59" s="215"/>
      <c r="L59" s="215"/>
    </row>
    <row r="60" spans="1:12" x14ac:dyDescent="0.4">
      <c r="A60" s="205"/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</row>
    <row r="61" spans="1:12" x14ac:dyDescent="0.4">
      <c r="C61" s="205"/>
      <c r="F61" s="216" t="s">
        <v>132</v>
      </c>
      <c r="G61" s="216"/>
      <c r="H61" s="216"/>
      <c r="I61" s="216"/>
      <c r="J61" s="216"/>
      <c r="K61" s="216"/>
      <c r="L61" s="216"/>
    </row>
    <row r="62" spans="1:12" x14ac:dyDescent="0.4">
      <c r="C62" s="7" t="s">
        <v>4</v>
      </c>
      <c r="F62" s="217" t="s">
        <v>211</v>
      </c>
      <c r="G62" s="217"/>
      <c r="H62" s="217"/>
      <c r="J62" s="217" t="s">
        <v>212</v>
      </c>
      <c r="K62" s="217"/>
      <c r="L62" s="217"/>
    </row>
    <row r="63" spans="1:12" x14ac:dyDescent="0.4">
      <c r="F63" s="217" t="str">
        <f>+F9</f>
        <v>For the nine-month period ended September 30</v>
      </c>
      <c r="G63" s="217"/>
      <c r="H63" s="217"/>
      <c r="J63" s="217" t="str">
        <f>+J9</f>
        <v>For the nine-month period ended September 30</v>
      </c>
      <c r="K63" s="217"/>
      <c r="L63" s="217"/>
    </row>
    <row r="64" spans="1:12" x14ac:dyDescent="0.4">
      <c r="D64" s="178" t="s">
        <v>133</v>
      </c>
      <c r="E64" s="27"/>
      <c r="F64" s="181">
        <f>+F10</f>
        <v>2017</v>
      </c>
      <c r="H64" s="181">
        <f>+H10</f>
        <v>2016</v>
      </c>
      <c r="J64" s="181">
        <f>+J10</f>
        <v>2017</v>
      </c>
      <c r="K64" s="207"/>
      <c r="L64" s="181">
        <f>+L10</f>
        <v>2016</v>
      </c>
    </row>
    <row r="65" spans="1:12" x14ac:dyDescent="0.4">
      <c r="A65" s="140"/>
      <c r="F65" s="208"/>
      <c r="G65" s="208"/>
      <c r="H65" s="208"/>
    </row>
    <row r="66" spans="1:12" x14ac:dyDescent="0.4">
      <c r="A66" s="7" t="s">
        <v>243</v>
      </c>
      <c r="F66" s="162">
        <f>+F35</f>
        <v>350590366.04000002</v>
      </c>
      <c r="G66" s="149"/>
      <c r="H66" s="162">
        <f>+H35</f>
        <v>355119738.24000001</v>
      </c>
      <c r="I66" s="147"/>
      <c r="J66" s="162">
        <f>+J35</f>
        <v>41325789.839999974</v>
      </c>
      <c r="K66" s="147"/>
      <c r="L66" s="162">
        <f>+L35</f>
        <v>413258661.30000007</v>
      </c>
    </row>
    <row r="67" spans="1:12" x14ac:dyDescent="0.4">
      <c r="F67" s="153"/>
      <c r="G67" s="149"/>
      <c r="H67" s="153"/>
      <c r="I67" s="147"/>
      <c r="J67" s="153"/>
      <c r="K67" s="147"/>
      <c r="L67" s="153"/>
    </row>
    <row r="68" spans="1:12" x14ac:dyDescent="0.4">
      <c r="A68" s="7" t="s">
        <v>262</v>
      </c>
      <c r="F68" s="153"/>
      <c r="G68" s="149"/>
      <c r="H68" s="153"/>
      <c r="I68" s="147"/>
      <c r="J68" s="199"/>
      <c r="K68" s="147"/>
      <c r="L68" s="199"/>
    </row>
    <row r="69" spans="1:12" s="172" customFormat="1" x14ac:dyDescent="0.4">
      <c r="A69" s="7" t="s">
        <v>314</v>
      </c>
      <c r="D69" s="173"/>
      <c r="E69" s="173"/>
      <c r="F69" s="174"/>
      <c r="G69" s="175"/>
      <c r="H69" s="174"/>
      <c r="I69" s="176"/>
      <c r="J69" s="177"/>
      <c r="K69" s="176"/>
      <c r="L69" s="177"/>
    </row>
    <row r="70" spans="1:12" s="172" customFormat="1" x14ac:dyDescent="0.4">
      <c r="B70" s="7" t="s">
        <v>313</v>
      </c>
      <c r="D70" s="173"/>
      <c r="E70" s="173"/>
      <c r="F70" s="174"/>
      <c r="G70" s="175"/>
      <c r="H70" s="174"/>
      <c r="I70" s="176"/>
      <c r="J70" s="177"/>
      <c r="K70" s="176"/>
      <c r="L70" s="177"/>
    </row>
    <row r="71" spans="1:12" x14ac:dyDescent="0.4">
      <c r="B71" s="193" t="s">
        <v>293</v>
      </c>
      <c r="F71" s="165">
        <v>-72861034.909999996</v>
      </c>
      <c r="G71" s="160"/>
      <c r="H71" s="165">
        <v>-36835170.490000002</v>
      </c>
      <c r="I71" s="152"/>
      <c r="J71" s="199">
        <v>0</v>
      </c>
      <c r="K71" s="152"/>
      <c r="L71" s="199">
        <v>0</v>
      </c>
    </row>
    <row r="72" spans="1:12" ht="5.25" customHeight="1" x14ac:dyDescent="0.4">
      <c r="B72" s="193"/>
      <c r="F72" s="165"/>
      <c r="G72" s="160"/>
      <c r="H72" s="165"/>
      <c r="I72" s="152"/>
      <c r="J72" s="199"/>
      <c r="K72" s="152"/>
      <c r="L72" s="199"/>
    </row>
    <row r="73" spans="1:12" x14ac:dyDescent="0.4">
      <c r="A73" s="7" t="s">
        <v>330</v>
      </c>
      <c r="B73" s="172"/>
      <c r="F73" s="165"/>
      <c r="G73" s="160"/>
      <c r="H73" s="165"/>
      <c r="I73" s="152"/>
      <c r="J73" s="199"/>
      <c r="K73" s="152"/>
      <c r="L73" s="199"/>
    </row>
    <row r="74" spans="1:12" x14ac:dyDescent="0.4">
      <c r="A74" s="172"/>
      <c r="B74" s="7" t="s">
        <v>313</v>
      </c>
      <c r="F74" s="165"/>
      <c r="G74" s="160"/>
      <c r="H74" s="165"/>
      <c r="I74" s="152"/>
      <c r="J74" s="199"/>
      <c r="K74" s="152"/>
      <c r="L74" s="199"/>
    </row>
    <row r="75" spans="1:12" x14ac:dyDescent="0.4">
      <c r="B75" s="7" t="s">
        <v>331</v>
      </c>
      <c r="D75" s="207">
        <v>18</v>
      </c>
      <c r="F75" s="165">
        <v>-1844127</v>
      </c>
      <c r="G75" s="160"/>
      <c r="H75" s="165">
        <v>0</v>
      </c>
      <c r="I75" s="152"/>
      <c r="J75" s="199">
        <v>-2421974</v>
      </c>
      <c r="K75" s="152"/>
      <c r="L75" s="199">
        <v>0</v>
      </c>
    </row>
    <row r="76" spans="1:12" x14ac:dyDescent="0.4">
      <c r="B76" s="7" t="s">
        <v>349</v>
      </c>
      <c r="D76" s="207">
        <v>20.399999999999999</v>
      </c>
      <c r="F76" s="165">
        <v>368825.4</v>
      </c>
      <c r="G76" s="160"/>
      <c r="H76" s="165">
        <v>0</v>
      </c>
      <c r="I76" s="152"/>
      <c r="J76" s="199">
        <v>484394.8</v>
      </c>
      <c r="K76" s="152"/>
      <c r="L76" s="199">
        <v>0</v>
      </c>
    </row>
    <row r="77" spans="1:12" ht="6.75" customHeight="1" x14ac:dyDescent="0.4">
      <c r="B77" s="171"/>
      <c r="F77" s="162"/>
      <c r="G77" s="149"/>
      <c r="H77" s="162"/>
      <c r="I77" s="147"/>
      <c r="J77" s="148"/>
      <c r="K77" s="147"/>
      <c r="L77" s="148"/>
    </row>
    <row r="78" spans="1:12" x14ac:dyDescent="0.4">
      <c r="A78" s="7" t="s">
        <v>263</v>
      </c>
      <c r="F78" s="164">
        <f>SUM(F71:F77)</f>
        <v>-74336336.50999999</v>
      </c>
      <c r="G78" s="149"/>
      <c r="H78" s="164">
        <f>SUM(H71:H77)</f>
        <v>-36835170.490000002</v>
      </c>
      <c r="I78" s="147"/>
      <c r="J78" s="164">
        <f>SUM(J71:J77)</f>
        <v>-1937579.2</v>
      </c>
      <c r="K78" s="147"/>
      <c r="L78" s="164">
        <f>SUM(L71:L77)</f>
        <v>0</v>
      </c>
    </row>
    <row r="79" spans="1:12" x14ac:dyDescent="0.4">
      <c r="F79" s="153"/>
      <c r="G79" s="149"/>
      <c r="H79" s="153"/>
      <c r="I79" s="147"/>
      <c r="J79" s="198"/>
      <c r="K79" s="147"/>
      <c r="L79" s="198"/>
    </row>
    <row r="80" spans="1:12" ht="18.75" thickBot="1" x14ac:dyDescent="0.45">
      <c r="A80" s="7" t="s">
        <v>264</v>
      </c>
      <c r="F80" s="157">
        <f>+F66+F78</f>
        <v>276254029.53000003</v>
      </c>
      <c r="G80" s="149"/>
      <c r="H80" s="157">
        <f>+H66+H78</f>
        <v>318284567.75</v>
      </c>
      <c r="I80" s="147"/>
      <c r="J80" s="157">
        <f>+J66+J78</f>
        <v>39388210.639999971</v>
      </c>
      <c r="K80" s="147"/>
      <c r="L80" s="157">
        <f>+L66+L78</f>
        <v>413258661.30000007</v>
      </c>
    </row>
    <row r="81" spans="1:12" ht="18.75" thickTop="1" x14ac:dyDescent="0.4">
      <c r="F81" s="158"/>
      <c r="G81" s="158"/>
      <c r="H81" s="158"/>
      <c r="I81" s="147"/>
      <c r="J81" s="198"/>
      <c r="K81" s="147"/>
      <c r="L81" s="198"/>
    </row>
    <row r="82" spans="1:12" x14ac:dyDescent="0.4">
      <c r="A82" s="18" t="s">
        <v>265</v>
      </c>
      <c r="B82" s="18"/>
      <c r="C82" s="18"/>
      <c r="D82" s="11"/>
      <c r="E82" s="186"/>
      <c r="F82" s="198"/>
      <c r="G82" s="152"/>
      <c r="H82" s="198"/>
      <c r="I82" s="199"/>
      <c r="J82" s="198"/>
      <c r="K82" s="152"/>
      <c r="L82" s="198"/>
    </row>
    <row r="83" spans="1:12" x14ac:dyDescent="0.4">
      <c r="A83" s="18"/>
      <c r="B83" s="18" t="s">
        <v>261</v>
      </c>
      <c r="C83" s="18"/>
      <c r="D83" s="11"/>
      <c r="E83" s="41">
        <v>852812933</v>
      </c>
      <c r="F83" s="165">
        <f>+F80-F84</f>
        <v>254242017.13000003</v>
      </c>
      <c r="G83" s="160"/>
      <c r="H83" s="165">
        <f>+H80-H84</f>
        <v>371415867.73000002</v>
      </c>
      <c r="I83" s="160"/>
      <c r="J83" s="165">
        <f>+J80-J84</f>
        <v>39388210.639999971</v>
      </c>
      <c r="K83" s="160"/>
      <c r="L83" s="165">
        <f>+L80-L84</f>
        <v>413258661.30000007</v>
      </c>
    </row>
    <row r="84" spans="1:12" x14ac:dyDescent="0.4">
      <c r="A84" s="18"/>
      <c r="B84" s="7" t="s">
        <v>252</v>
      </c>
      <c r="D84" s="11"/>
      <c r="E84" s="41">
        <v>-1541152</v>
      </c>
      <c r="F84" s="165">
        <f>+F39</f>
        <v>22012012.399999999</v>
      </c>
      <c r="G84" s="199"/>
      <c r="H84" s="165">
        <f>+H39</f>
        <v>-53131299.979999997</v>
      </c>
      <c r="I84" s="199"/>
      <c r="J84" s="165">
        <f>+J39</f>
        <v>0</v>
      </c>
      <c r="K84" s="199"/>
      <c r="L84" s="165">
        <f>+L39</f>
        <v>0</v>
      </c>
    </row>
    <row r="85" spans="1:12" ht="18.75" thickBot="1" x14ac:dyDescent="0.45">
      <c r="A85" s="18"/>
      <c r="B85" s="18"/>
      <c r="C85" s="18"/>
      <c r="D85" s="11"/>
      <c r="E85" s="41"/>
      <c r="F85" s="166">
        <f>SUM(F83:F84)</f>
        <v>276254029.53000003</v>
      </c>
      <c r="G85" s="152"/>
      <c r="H85" s="166">
        <f>SUM(H83:H84)</f>
        <v>318284567.75</v>
      </c>
      <c r="I85" s="152"/>
      <c r="J85" s="166">
        <f>SUM(J83:J84)</f>
        <v>39388210.639999971</v>
      </c>
      <c r="K85" s="152"/>
      <c r="L85" s="166">
        <f>SUM(L83:L84)</f>
        <v>413258661.30000007</v>
      </c>
    </row>
    <row r="86" spans="1:12" ht="18.75" thickTop="1" x14ac:dyDescent="0.4">
      <c r="A86" s="18"/>
      <c r="B86" s="18"/>
      <c r="C86" s="18"/>
      <c r="D86" s="11"/>
      <c r="E86" s="41"/>
      <c r="F86" s="165"/>
      <c r="G86" s="152"/>
      <c r="H86" s="160"/>
      <c r="I86" s="152"/>
      <c r="J86" s="160"/>
      <c r="K86" s="152"/>
      <c r="L86" s="160"/>
    </row>
    <row r="87" spans="1:12" x14ac:dyDescent="0.4">
      <c r="A87" s="13" t="s">
        <v>235</v>
      </c>
      <c r="B87" s="18"/>
      <c r="C87" s="18"/>
      <c r="D87" s="11"/>
      <c r="E87" s="41"/>
      <c r="F87" s="165"/>
      <c r="G87" s="152"/>
      <c r="H87" s="160"/>
      <c r="I87" s="152"/>
      <c r="J87" s="160"/>
      <c r="K87" s="152"/>
      <c r="L87" s="160"/>
    </row>
    <row r="88" spans="1:12" x14ac:dyDescent="0.4">
      <c r="A88" s="18"/>
      <c r="B88" s="18"/>
      <c r="C88" s="18"/>
      <c r="D88" s="11"/>
      <c r="E88" s="41"/>
      <c r="F88" s="165"/>
      <c r="G88" s="152"/>
      <c r="H88" s="160"/>
      <c r="I88" s="152"/>
      <c r="J88" s="160"/>
      <c r="K88" s="152"/>
      <c r="L88" s="160"/>
    </row>
    <row r="89" spans="1:12" x14ac:dyDescent="0.4">
      <c r="A89" s="18"/>
      <c r="B89" s="18"/>
      <c r="C89" s="18"/>
      <c r="D89" s="11"/>
      <c r="E89" s="41"/>
      <c r="F89" s="165"/>
      <c r="G89" s="152"/>
      <c r="H89" s="160"/>
      <c r="I89" s="152"/>
      <c r="J89" s="160"/>
      <c r="K89" s="152"/>
      <c r="L89" s="160"/>
    </row>
    <row r="90" spans="1:12" x14ac:dyDescent="0.4">
      <c r="A90" s="18"/>
      <c r="B90" s="18"/>
      <c r="C90" s="18"/>
      <c r="D90" s="11"/>
      <c r="E90" s="41"/>
      <c r="F90" s="165"/>
      <c r="G90" s="152"/>
      <c r="H90" s="160"/>
      <c r="I90" s="152"/>
      <c r="J90" s="160"/>
      <c r="K90" s="152"/>
      <c r="L90" s="160"/>
    </row>
    <row r="91" spans="1:12" x14ac:dyDescent="0.4">
      <c r="A91" s="18"/>
      <c r="B91" s="18"/>
      <c r="C91" s="18"/>
      <c r="D91" s="11"/>
      <c r="E91" s="41"/>
      <c r="F91" s="165"/>
      <c r="G91" s="152"/>
      <c r="H91" s="160"/>
      <c r="I91" s="152"/>
      <c r="J91" s="160"/>
      <c r="K91" s="152"/>
      <c r="L91" s="160"/>
    </row>
    <row r="92" spans="1:12" x14ac:dyDescent="0.4">
      <c r="A92" s="18"/>
      <c r="B92" s="18"/>
      <c r="C92" s="18"/>
      <c r="D92" s="11"/>
      <c r="E92" s="41"/>
      <c r="F92" s="165"/>
      <c r="G92" s="152"/>
      <c r="H92" s="160"/>
      <c r="I92" s="152"/>
      <c r="J92" s="160"/>
      <c r="K92" s="152"/>
      <c r="L92" s="160"/>
    </row>
    <row r="93" spans="1:12" x14ac:dyDescent="0.4">
      <c r="A93" s="18"/>
      <c r="B93" s="18"/>
      <c r="C93" s="18"/>
      <c r="D93" s="11"/>
      <c r="E93" s="41"/>
      <c r="F93" s="165"/>
      <c r="G93" s="152"/>
      <c r="H93" s="160"/>
      <c r="I93" s="152"/>
      <c r="J93" s="160"/>
      <c r="K93" s="152"/>
      <c r="L93" s="160"/>
    </row>
    <row r="94" spans="1:12" x14ac:dyDescent="0.4">
      <c r="A94" s="18"/>
      <c r="B94" s="18"/>
      <c r="C94" s="18"/>
      <c r="D94" s="11"/>
      <c r="E94" s="41"/>
      <c r="F94" s="165"/>
      <c r="G94" s="152"/>
      <c r="H94" s="160"/>
      <c r="I94" s="152"/>
      <c r="J94" s="160"/>
      <c r="K94" s="152"/>
      <c r="L94" s="160"/>
    </row>
    <row r="95" spans="1:12" x14ac:dyDescent="0.4">
      <c r="A95" s="18"/>
      <c r="B95" s="18"/>
      <c r="C95" s="18"/>
      <c r="D95" s="11"/>
      <c r="E95" s="41"/>
      <c r="F95" s="165"/>
      <c r="G95" s="152"/>
      <c r="H95" s="160"/>
      <c r="I95" s="152"/>
      <c r="J95" s="160"/>
      <c r="K95" s="152"/>
      <c r="L95" s="160"/>
    </row>
    <row r="96" spans="1:12" x14ac:dyDescent="0.4">
      <c r="A96" s="18"/>
      <c r="B96" s="18"/>
      <c r="C96" s="18"/>
      <c r="D96" s="11"/>
      <c r="E96" s="41"/>
      <c r="F96" s="165"/>
      <c r="G96" s="152"/>
      <c r="H96" s="160"/>
      <c r="I96" s="152"/>
      <c r="J96" s="160"/>
      <c r="K96" s="152"/>
      <c r="L96" s="160"/>
    </row>
    <row r="97" spans="1:12" x14ac:dyDescent="0.4">
      <c r="A97" s="18"/>
      <c r="B97" s="18"/>
      <c r="C97" s="18"/>
      <c r="D97" s="11"/>
      <c r="E97" s="41"/>
      <c r="F97" s="165"/>
      <c r="G97" s="152"/>
      <c r="H97" s="160"/>
      <c r="I97" s="152"/>
      <c r="J97" s="160"/>
      <c r="K97" s="152"/>
      <c r="L97" s="160"/>
    </row>
    <row r="98" spans="1:12" x14ac:dyDescent="0.4">
      <c r="A98" s="18"/>
      <c r="B98" s="18"/>
      <c r="C98" s="18"/>
      <c r="D98" s="11"/>
      <c r="E98" s="41"/>
      <c r="F98" s="165"/>
      <c r="G98" s="152"/>
      <c r="H98" s="160"/>
      <c r="I98" s="152"/>
      <c r="J98" s="160"/>
      <c r="K98" s="152"/>
      <c r="L98" s="160"/>
    </row>
    <row r="99" spans="1:12" x14ac:dyDescent="0.4">
      <c r="A99" s="18"/>
      <c r="B99" s="18"/>
      <c r="C99" s="18"/>
      <c r="D99" s="11"/>
      <c r="E99" s="41"/>
      <c r="F99" s="165"/>
      <c r="G99" s="152"/>
      <c r="H99" s="160"/>
      <c r="I99" s="152"/>
      <c r="J99" s="160"/>
      <c r="K99" s="152"/>
      <c r="L99" s="160"/>
    </row>
    <row r="100" spans="1:12" x14ac:dyDescent="0.4">
      <c r="A100" s="13"/>
    </row>
    <row r="102" spans="1:12" x14ac:dyDescent="0.4">
      <c r="A102" s="207"/>
      <c r="B102" s="24" t="s">
        <v>149</v>
      </c>
      <c r="C102" s="207"/>
      <c r="D102" s="24"/>
      <c r="F102" s="24" t="s">
        <v>149</v>
      </c>
      <c r="I102" s="207"/>
      <c r="J102" s="207"/>
      <c r="K102" s="207"/>
      <c r="L102" s="207"/>
    </row>
    <row r="103" spans="1:12" x14ac:dyDescent="0.4">
      <c r="A103" s="207"/>
      <c r="B103" s="24"/>
      <c r="C103" s="207"/>
      <c r="D103" s="24"/>
      <c r="F103" s="24"/>
      <c r="I103" s="207"/>
      <c r="J103" s="207"/>
      <c r="K103" s="207"/>
      <c r="L103" s="207"/>
    </row>
    <row r="104" spans="1:12" x14ac:dyDescent="0.4">
      <c r="A104" s="7" t="s">
        <v>205</v>
      </c>
      <c r="D104" s="33"/>
      <c r="E104" s="33"/>
      <c r="F104" s="16"/>
      <c r="G104" s="33"/>
      <c r="H104" s="16"/>
      <c r="J104" s="16"/>
      <c r="K104" s="16"/>
      <c r="L104" s="208" t="s">
        <v>269</v>
      </c>
    </row>
    <row r="105" spans="1:12" x14ac:dyDescent="0.4">
      <c r="D105" s="33"/>
      <c r="E105" s="33"/>
      <c r="F105" s="16"/>
      <c r="G105" s="33"/>
      <c r="H105" s="16"/>
      <c r="J105" s="16"/>
      <c r="K105" s="13"/>
      <c r="L105" s="209"/>
    </row>
    <row r="106" spans="1:12" x14ac:dyDescent="0.4">
      <c r="A106" s="220" t="s">
        <v>131</v>
      </c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</row>
    <row r="107" spans="1:12" x14ac:dyDescent="0.4">
      <c r="A107" s="215" t="s">
        <v>161</v>
      </c>
      <c r="B107" s="215"/>
      <c r="C107" s="215"/>
      <c r="D107" s="215"/>
      <c r="E107" s="215"/>
      <c r="F107" s="215"/>
      <c r="G107" s="215"/>
      <c r="H107" s="215"/>
      <c r="I107" s="215"/>
      <c r="J107" s="215"/>
      <c r="K107" s="215"/>
      <c r="L107" s="215"/>
    </row>
    <row r="108" spans="1:12" x14ac:dyDescent="0.4">
      <c r="A108" s="215" t="s">
        <v>370</v>
      </c>
      <c r="B108" s="215"/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</row>
    <row r="109" spans="1:12" ht="8.25" customHeight="1" x14ac:dyDescent="0.4">
      <c r="A109" s="205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</row>
    <row r="110" spans="1:12" x14ac:dyDescent="0.4">
      <c r="C110" s="205"/>
      <c r="F110" s="216" t="s">
        <v>132</v>
      </c>
      <c r="G110" s="216"/>
      <c r="H110" s="216"/>
      <c r="I110" s="216"/>
      <c r="J110" s="216"/>
      <c r="K110" s="216"/>
      <c r="L110" s="216"/>
    </row>
    <row r="111" spans="1:12" x14ac:dyDescent="0.4">
      <c r="C111" s="7" t="s">
        <v>4</v>
      </c>
      <c r="F111" s="217" t="s">
        <v>211</v>
      </c>
      <c r="G111" s="217"/>
      <c r="H111" s="217"/>
      <c r="J111" s="217" t="s">
        <v>212</v>
      </c>
      <c r="K111" s="217"/>
      <c r="L111" s="217"/>
    </row>
    <row r="112" spans="1:12" x14ac:dyDescent="0.4">
      <c r="F112" s="217" t="s">
        <v>371</v>
      </c>
      <c r="G112" s="217"/>
      <c r="H112" s="217"/>
      <c r="J112" s="217" t="s">
        <v>371</v>
      </c>
      <c r="K112" s="217"/>
      <c r="L112" s="217"/>
    </row>
    <row r="113" spans="1:12" x14ac:dyDescent="0.4">
      <c r="D113" s="178" t="s">
        <v>133</v>
      </c>
      <c r="E113" s="27"/>
      <c r="F113" s="178">
        <v>2017</v>
      </c>
      <c r="H113" s="178">
        <v>2016</v>
      </c>
      <c r="J113" s="178">
        <f>+F113</f>
        <v>2017</v>
      </c>
      <c r="K113" s="207"/>
      <c r="L113" s="178">
        <v>2016</v>
      </c>
    </row>
    <row r="114" spans="1:12" x14ac:dyDescent="0.4">
      <c r="A114" s="140" t="s">
        <v>162</v>
      </c>
      <c r="F114" s="208"/>
      <c r="G114" s="208"/>
      <c r="H114" s="208"/>
    </row>
    <row r="115" spans="1:12" x14ac:dyDescent="0.4">
      <c r="B115" s="7" t="s">
        <v>240</v>
      </c>
      <c r="F115" s="153">
        <v>340181343.58999997</v>
      </c>
      <c r="G115" s="149"/>
      <c r="H115" s="153">
        <v>275865756.73000002</v>
      </c>
      <c r="I115" s="147"/>
      <c r="J115" s="199">
        <v>8755859.0399999991</v>
      </c>
      <c r="K115" s="147"/>
      <c r="L115" s="199">
        <v>262174370.16999999</v>
      </c>
    </row>
    <row r="116" spans="1:12" x14ac:dyDescent="0.4">
      <c r="B116" s="17" t="s">
        <v>209</v>
      </c>
      <c r="F116" s="153">
        <v>11734114.57</v>
      </c>
      <c r="G116" s="149"/>
      <c r="H116" s="153">
        <v>53154534.630000003</v>
      </c>
      <c r="I116" s="147"/>
      <c r="J116" s="198">
        <v>14944325.16</v>
      </c>
      <c r="K116" s="147"/>
      <c r="L116" s="198">
        <v>86538388.040000007</v>
      </c>
    </row>
    <row r="117" spans="1:12" x14ac:dyDescent="0.4">
      <c r="B117" s="17" t="s">
        <v>328</v>
      </c>
      <c r="F117" s="153">
        <v>4671816.5999999996</v>
      </c>
      <c r="G117" s="149"/>
      <c r="H117" s="153">
        <v>59545818.119999997</v>
      </c>
      <c r="I117" s="147"/>
      <c r="J117" s="198">
        <v>4671816.5999999996</v>
      </c>
      <c r="K117" s="147"/>
      <c r="L117" s="198">
        <v>59545818.119999997</v>
      </c>
    </row>
    <row r="118" spans="1:12" x14ac:dyDescent="0.4">
      <c r="B118" s="7" t="s">
        <v>224</v>
      </c>
      <c r="F118" s="153">
        <v>7170500</v>
      </c>
      <c r="G118" s="149"/>
      <c r="H118" s="153">
        <v>6835000</v>
      </c>
      <c r="I118" s="147"/>
      <c r="J118" s="198">
        <v>7170500</v>
      </c>
      <c r="K118" s="147"/>
      <c r="L118" s="198">
        <v>6835000</v>
      </c>
    </row>
    <row r="119" spans="1:12" x14ac:dyDescent="0.4">
      <c r="B119" s="7" t="s">
        <v>163</v>
      </c>
      <c r="F119" s="158"/>
      <c r="G119" s="158"/>
      <c r="H119" s="158"/>
      <c r="I119" s="147"/>
      <c r="J119" s="198"/>
      <c r="K119" s="147"/>
      <c r="L119" s="198"/>
    </row>
    <row r="120" spans="1:12" x14ac:dyDescent="0.4">
      <c r="C120" s="7" t="s">
        <v>164</v>
      </c>
      <c r="F120" s="153">
        <v>4512918.45</v>
      </c>
      <c r="G120" s="149"/>
      <c r="H120" s="153">
        <v>1485436.68</v>
      </c>
      <c r="I120" s="147"/>
      <c r="J120" s="199">
        <v>4546612.6100000003</v>
      </c>
      <c r="K120" s="147"/>
      <c r="L120" s="199">
        <v>1531183.33</v>
      </c>
    </row>
    <row r="121" spans="1:12" x14ac:dyDescent="0.4">
      <c r="C121" s="7" t="s">
        <v>329</v>
      </c>
      <c r="D121" s="207">
        <v>9</v>
      </c>
      <c r="F121" s="153">
        <v>0</v>
      </c>
      <c r="G121" s="149"/>
      <c r="H121" s="153">
        <v>0</v>
      </c>
      <c r="I121" s="147"/>
      <c r="J121" s="199">
        <v>21431024.34</v>
      </c>
      <c r="K121" s="147"/>
      <c r="L121" s="199">
        <v>0</v>
      </c>
    </row>
    <row r="122" spans="1:12" x14ac:dyDescent="0.4">
      <c r="C122" s="7" t="s">
        <v>141</v>
      </c>
      <c r="D122" s="13"/>
      <c r="E122" s="13"/>
      <c r="F122" s="153">
        <v>11268864.220000001</v>
      </c>
      <c r="G122" s="149"/>
      <c r="H122" s="153">
        <v>1141312.1000000001</v>
      </c>
      <c r="I122" s="147"/>
      <c r="J122" s="198">
        <v>11220741.93</v>
      </c>
      <c r="K122" s="147"/>
      <c r="L122" s="198">
        <v>2836088</v>
      </c>
    </row>
    <row r="123" spans="1:12" x14ac:dyDescent="0.4">
      <c r="C123" s="7" t="s">
        <v>165</v>
      </c>
      <c r="D123" s="207">
        <v>2.1</v>
      </c>
      <c r="F123" s="151">
        <f>SUM(F115:F122)</f>
        <v>379539557.43000001</v>
      </c>
      <c r="G123" s="149"/>
      <c r="H123" s="151">
        <f>SUM(H115:H122)</f>
        <v>398027858.26000005</v>
      </c>
      <c r="I123" s="147"/>
      <c r="J123" s="151">
        <f>SUM(J115:J122)</f>
        <v>72740879.680000007</v>
      </c>
      <c r="K123" s="147"/>
      <c r="L123" s="151">
        <f>SUM(L115:L122)</f>
        <v>419460847.65999997</v>
      </c>
    </row>
    <row r="124" spans="1:12" ht="9" customHeight="1" x14ac:dyDescent="0.4">
      <c r="F124" s="149"/>
      <c r="G124" s="149"/>
      <c r="H124" s="149"/>
      <c r="I124" s="147"/>
      <c r="J124" s="149"/>
      <c r="K124" s="147"/>
      <c r="L124" s="149"/>
    </row>
    <row r="125" spans="1:12" x14ac:dyDescent="0.4">
      <c r="A125" s="7" t="s">
        <v>166</v>
      </c>
      <c r="F125" s="149"/>
      <c r="G125" s="149"/>
      <c r="H125" s="149"/>
      <c r="I125" s="147"/>
      <c r="J125" s="198"/>
      <c r="K125" s="147"/>
      <c r="L125" s="198"/>
    </row>
    <row r="126" spans="1:12" x14ac:dyDescent="0.4">
      <c r="B126" s="7" t="s">
        <v>278</v>
      </c>
      <c r="F126" s="149">
        <v>114115108.58</v>
      </c>
      <c r="G126" s="149"/>
      <c r="H126" s="149">
        <v>28929745.359999999</v>
      </c>
      <c r="I126" s="147"/>
      <c r="J126" s="198">
        <v>7817915.1299999999</v>
      </c>
      <c r="K126" s="147"/>
      <c r="L126" s="198">
        <v>8743581.4399999995</v>
      </c>
    </row>
    <row r="127" spans="1:12" x14ac:dyDescent="0.4">
      <c r="B127" s="7" t="s">
        <v>220</v>
      </c>
      <c r="D127" s="209"/>
      <c r="E127" s="209"/>
      <c r="F127" s="149">
        <v>19671055.07</v>
      </c>
      <c r="G127" s="149"/>
      <c r="H127" s="149">
        <v>24676650.18</v>
      </c>
      <c r="I127" s="147"/>
      <c r="J127" s="198">
        <v>19200361.899999999</v>
      </c>
      <c r="K127" s="147"/>
      <c r="L127" s="198">
        <v>24261189.449999999</v>
      </c>
    </row>
    <row r="128" spans="1:12" x14ac:dyDescent="0.4">
      <c r="B128" s="17" t="s">
        <v>380</v>
      </c>
      <c r="D128" s="209" t="s">
        <v>378</v>
      </c>
      <c r="E128" s="209"/>
      <c r="F128" s="149">
        <v>0</v>
      </c>
      <c r="G128" s="149"/>
      <c r="H128" s="149">
        <v>0</v>
      </c>
      <c r="I128" s="147"/>
      <c r="J128" s="198">
        <v>16096170.09</v>
      </c>
      <c r="K128" s="147"/>
      <c r="L128" s="198">
        <v>0</v>
      </c>
    </row>
    <row r="129" spans="1:12" x14ac:dyDescent="0.4">
      <c r="B129" s="7" t="s">
        <v>340</v>
      </c>
      <c r="D129" s="212"/>
      <c r="E129" s="209"/>
      <c r="F129" s="153">
        <v>0</v>
      </c>
      <c r="G129" s="149"/>
      <c r="H129" s="153">
        <v>1000000</v>
      </c>
      <c r="I129" s="147"/>
      <c r="J129" s="198">
        <v>0</v>
      </c>
      <c r="K129" s="147"/>
      <c r="L129" s="198">
        <v>1000000</v>
      </c>
    </row>
    <row r="130" spans="1:12" x14ac:dyDescent="0.4">
      <c r="B130" s="7" t="s">
        <v>221</v>
      </c>
      <c r="D130" s="31"/>
      <c r="E130" s="209"/>
      <c r="F130" s="149">
        <v>1084489.3799999999</v>
      </c>
      <c r="G130" s="149"/>
      <c r="H130" s="149">
        <v>0</v>
      </c>
      <c r="I130" s="147"/>
      <c r="J130" s="198">
        <v>2348039.48</v>
      </c>
      <c r="K130" s="147"/>
      <c r="L130" s="198">
        <v>1261981.51</v>
      </c>
    </row>
    <row r="131" spans="1:12" x14ac:dyDescent="0.4">
      <c r="C131" s="7" t="s">
        <v>167</v>
      </c>
      <c r="D131" s="207">
        <v>2.1</v>
      </c>
      <c r="F131" s="151">
        <f>SUM(F126:F130)</f>
        <v>134870653.03</v>
      </c>
      <c r="G131" s="153"/>
      <c r="H131" s="151">
        <f>SUM(H126:H130)</f>
        <v>54606395.539999999</v>
      </c>
      <c r="I131" s="198"/>
      <c r="J131" s="151">
        <f>SUM(J126:J130)</f>
        <v>45462486.599999994</v>
      </c>
      <c r="K131" s="198"/>
      <c r="L131" s="151">
        <f>SUM(L126:L130)</f>
        <v>35266752.399999999</v>
      </c>
    </row>
    <row r="132" spans="1:12" ht="10.5" customHeight="1" x14ac:dyDescent="0.4">
      <c r="F132" s="149"/>
      <c r="G132" s="149"/>
      <c r="H132" s="149"/>
      <c r="I132" s="147"/>
      <c r="J132" s="198"/>
      <c r="K132" s="147"/>
      <c r="L132" s="198"/>
    </row>
    <row r="133" spans="1:12" x14ac:dyDescent="0.4">
      <c r="A133" s="7" t="s">
        <v>284</v>
      </c>
      <c r="D133" s="33"/>
      <c r="E133" s="33"/>
      <c r="F133" s="198">
        <f>+F123-F131</f>
        <v>244668904.40000001</v>
      </c>
      <c r="G133" s="153"/>
      <c r="H133" s="198">
        <f>+H123-H131</f>
        <v>343421462.72000003</v>
      </c>
      <c r="I133" s="147"/>
      <c r="J133" s="198">
        <f>+J123-J131</f>
        <v>27278393.080000013</v>
      </c>
      <c r="K133" s="147"/>
      <c r="L133" s="198">
        <f>+L123-L131</f>
        <v>384194095.25999999</v>
      </c>
    </row>
    <row r="134" spans="1:12" x14ac:dyDescent="0.4">
      <c r="A134" s="7" t="s">
        <v>168</v>
      </c>
      <c r="D134" s="207">
        <v>20.100000000000001</v>
      </c>
      <c r="F134" s="162">
        <v>-13249503.52</v>
      </c>
      <c r="G134" s="149"/>
      <c r="H134" s="162">
        <v>-73172817.670000002</v>
      </c>
      <c r="I134" s="147"/>
      <c r="J134" s="148">
        <v>-13232606.560000001</v>
      </c>
      <c r="K134" s="198"/>
      <c r="L134" s="148">
        <v>-73029600.329999998</v>
      </c>
    </row>
    <row r="135" spans="1:12" ht="18.75" thickBot="1" x14ac:dyDescent="0.45">
      <c r="A135" s="18" t="s">
        <v>169</v>
      </c>
      <c r="F135" s="163">
        <f>SUM(F133:F134)</f>
        <v>231419400.88</v>
      </c>
      <c r="G135" s="149"/>
      <c r="H135" s="163">
        <f>SUM(H133:H134)</f>
        <v>270248645.05000001</v>
      </c>
      <c r="I135" s="147"/>
      <c r="J135" s="163">
        <f>SUM(J133:J134)</f>
        <v>14045786.520000013</v>
      </c>
      <c r="K135" s="198"/>
      <c r="L135" s="163">
        <f>SUM(L133:L134)</f>
        <v>311164494.93000001</v>
      </c>
    </row>
    <row r="136" spans="1:12" ht="9" customHeight="1" thickTop="1" x14ac:dyDescent="0.4">
      <c r="A136" s="18"/>
      <c r="F136" s="160"/>
      <c r="G136" s="149"/>
      <c r="H136" s="160"/>
      <c r="I136" s="147"/>
      <c r="J136" s="160"/>
      <c r="K136" s="198"/>
      <c r="L136" s="160"/>
    </row>
    <row r="137" spans="1:12" x14ac:dyDescent="0.4">
      <c r="A137" s="18" t="s">
        <v>260</v>
      </c>
      <c r="B137" s="185"/>
      <c r="C137" s="18"/>
      <c r="F137" s="160"/>
      <c r="G137" s="149"/>
      <c r="H137" s="160"/>
      <c r="I137" s="147"/>
      <c r="J137" s="160"/>
      <c r="K137" s="198"/>
      <c r="L137" s="160"/>
    </row>
    <row r="138" spans="1:12" x14ac:dyDescent="0.4">
      <c r="A138" s="18"/>
      <c r="B138" s="18" t="s">
        <v>261</v>
      </c>
      <c r="C138" s="18"/>
      <c r="F138" s="160">
        <f>+F135-F139</f>
        <v>232579367.32999998</v>
      </c>
      <c r="G138" s="160"/>
      <c r="H138" s="160">
        <f>+H135-H139</f>
        <v>280532877.91000003</v>
      </c>
      <c r="I138" s="160"/>
      <c r="J138" s="160">
        <f>J135</f>
        <v>14045786.520000013</v>
      </c>
      <c r="K138" s="160"/>
      <c r="L138" s="160">
        <f>L135</f>
        <v>311164494.93000001</v>
      </c>
    </row>
    <row r="139" spans="1:12" x14ac:dyDescent="0.4">
      <c r="A139" s="18"/>
      <c r="B139" s="7" t="s">
        <v>252</v>
      </c>
      <c r="F139" s="161">
        <v>-1159966.45</v>
      </c>
      <c r="G139" s="199"/>
      <c r="H139" s="161">
        <v>-10284232.859999999</v>
      </c>
      <c r="I139" s="199"/>
      <c r="J139" s="198">
        <v>0</v>
      </c>
      <c r="K139" s="199"/>
      <c r="L139" s="198">
        <v>0</v>
      </c>
    </row>
    <row r="140" spans="1:12" ht="18.75" thickBot="1" x14ac:dyDescent="0.45">
      <c r="D140" s="33"/>
      <c r="E140" s="33"/>
      <c r="F140" s="154">
        <f>SUM(F138:F139)</f>
        <v>231419400.88</v>
      </c>
      <c r="G140" s="153"/>
      <c r="H140" s="154">
        <f>SUM(H138:H139)</f>
        <v>270248645.05000001</v>
      </c>
      <c r="I140" s="147"/>
      <c r="J140" s="154">
        <f>SUM(J138:J139)</f>
        <v>14045786.520000013</v>
      </c>
      <c r="K140" s="147"/>
      <c r="L140" s="154">
        <f>SUM(L138:L139)</f>
        <v>311164494.93000001</v>
      </c>
    </row>
    <row r="141" spans="1:12" ht="9" customHeight="1" thickTop="1" x14ac:dyDescent="0.4">
      <c r="F141" s="149"/>
      <c r="G141" s="149"/>
      <c r="H141" s="149"/>
      <c r="I141" s="147"/>
      <c r="J141" s="199"/>
      <c r="K141" s="147"/>
      <c r="L141" s="199"/>
    </row>
    <row r="142" spans="1:12" x14ac:dyDescent="0.4">
      <c r="A142" s="184" t="s">
        <v>272</v>
      </c>
      <c r="D142" s="30"/>
      <c r="F142" s="149"/>
      <c r="G142" s="149"/>
      <c r="H142" s="149"/>
      <c r="I142" s="147"/>
      <c r="J142" s="199"/>
      <c r="K142" s="152"/>
      <c r="L142" s="199"/>
    </row>
    <row r="143" spans="1:12" ht="18.75" thickBot="1" x14ac:dyDescent="0.45">
      <c r="B143" s="18" t="s">
        <v>215</v>
      </c>
      <c r="D143" s="207">
        <v>19</v>
      </c>
      <c r="F143" s="191">
        <f>+F138/F144</f>
        <v>4.1254996201076428E-2</v>
      </c>
      <c r="G143" s="149"/>
      <c r="H143" s="191">
        <f>+H138/H144</f>
        <v>5.0227837207267027E-2</v>
      </c>
      <c r="I143" s="147"/>
      <c r="J143" s="191">
        <f>+J138/J144</f>
        <v>2.4914457209850175E-3</v>
      </c>
      <c r="K143" s="192"/>
      <c r="L143" s="191">
        <f>+L138/L144</f>
        <v>5.5712256304730201E-2</v>
      </c>
    </row>
    <row r="144" spans="1:12" ht="19.5" thickTop="1" thickBot="1" x14ac:dyDescent="0.45">
      <c r="B144" s="18" t="s">
        <v>170</v>
      </c>
      <c r="F144" s="167">
        <v>5637604866</v>
      </c>
      <c r="G144" s="168"/>
      <c r="H144" s="167">
        <v>5585207198</v>
      </c>
      <c r="I144" s="168"/>
      <c r="J144" s="167">
        <v>5637604866</v>
      </c>
      <c r="K144" s="168"/>
      <c r="L144" s="167">
        <v>5585207198</v>
      </c>
    </row>
    <row r="145" spans="1:12" ht="8.25" customHeight="1" thickTop="1" x14ac:dyDescent="0.4">
      <c r="F145" s="198"/>
      <c r="G145" s="158"/>
      <c r="H145" s="158"/>
      <c r="I145" s="147"/>
      <c r="J145" s="198"/>
      <c r="K145" s="147"/>
      <c r="L145" s="198"/>
    </row>
    <row r="146" spans="1:12" x14ac:dyDescent="0.4">
      <c r="A146" s="184" t="s">
        <v>273</v>
      </c>
      <c r="D146" s="30"/>
      <c r="F146" s="199"/>
      <c r="G146" s="149"/>
      <c r="H146" s="149"/>
      <c r="I146" s="147"/>
      <c r="J146" s="199"/>
      <c r="K146" s="152"/>
      <c r="L146" s="199"/>
    </row>
    <row r="147" spans="1:12" ht="18.75" thickBot="1" x14ac:dyDescent="0.45">
      <c r="B147" s="18" t="s">
        <v>215</v>
      </c>
      <c r="D147" s="207">
        <v>19</v>
      </c>
      <c r="F147" s="191">
        <f>+F138/F148</f>
        <v>4.1254996201076428E-2</v>
      </c>
      <c r="G147" s="149"/>
      <c r="H147" s="191">
        <f>+H138/H148</f>
        <v>5.0115524022878583E-2</v>
      </c>
      <c r="I147" s="147"/>
      <c r="J147" s="191">
        <f>+J138/J148</f>
        <v>2.4914457209850175E-3</v>
      </c>
      <c r="K147" s="192"/>
      <c r="L147" s="191">
        <f>+L138/L148</f>
        <v>5.5587679550823221E-2</v>
      </c>
    </row>
    <row r="148" spans="1:12" ht="19.5" thickTop="1" thickBot="1" x14ac:dyDescent="0.45">
      <c r="B148" s="18" t="s">
        <v>170</v>
      </c>
      <c r="F148" s="167">
        <v>5637604866</v>
      </c>
      <c r="G148" s="170"/>
      <c r="H148" s="169">
        <v>5597724126</v>
      </c>
      <c r="I148" s="168"/>
      <c r="J148" s="167">
        <v>5637604866</v>
      </c>
      <c r="K148" s="168"/>
      <c r="L148" s="167">
        <v>5597724126</v>
      </c>
    </row>
    <row r="149" spans="1:12" ht="9" customHeight="1" thickTop="1" x14ac:dyDescent="0.4"/>
    <row r="150" spans="1:12" x14ac:dyDescent="0.4">
      <c r="A150" s="13" t="s">
        <v>235</v>
      </c>
    </row>
    <row r="153" spans="1:12" x14ac:dyDescent="0.4">
      <c r="A153" s="207"/>
      <c r="B153" s="24" t="s">
        <v>149</v>
      </c>
      <c r="C153" s="207"/>
      <c r="D153" s="24"/>
      <c r="F153" s="24" t="s">
        <v>149</v>
      </c>
      <c r="I153" s="207"/>
      <c r="J153" s="207"/>
      <c r="K153" s="207"/>
      <c r="L153" s="207"/>
    </row>
    <row r="154" spans="1:12" ht="12.75" customHeight="1" x14ac:dyDescent="0.4">
      <c r="A154" s="214"/>
      <c r="B154" s="214"/>
      <c r="C154" s="214"/>
      <c r="D154" s="214"/>
      <c r="E154" s="214"/>
      <c r="F154" s="214"/>
      <c r="G154" s="214"/>
      <c r="H154" s="214"/>
      <c r="I154" s="214"/>
      <c r="J154" s="214"/>
      <c r="K154" s="214"/>
      <c r="L154" s="214"/>
    </row>
    <row r="155" spans="1:12" x14ac:dyDescent="0.4">
      <c r="A155" s="7" t="s">
        <v>205</v>
      </c>
      <c r="D155" s="33"/>
      <c r="E155" s="33"/>
      <c r="F155" s="16"/>
      <c r="G155" s="33"/>
      <c r="H155" s="16"/>
      <c r="J155" s="16"/>
      <c r="K155" s="16"/>
      <c r="L155" s="208" t="s">
        <v>269</v>
      </c>
    </row>
    <row r="156" spans="1:12" x14ac:dyDescent="0.4">
      <c r="D156" s="33"/>
      <c r="E156" s="33"/>
      <c r="F156" s="16"/>
      <c r="G156" s="33"/>
      <c r="H156" s="16"/>
      <c r="J156" s="16"/>
      <c r="K156" s="13"/>
      <c r="L156" s="209"/>
    </row>
    <row r="157" spans="1:12" x14ac:dyDescent="0.4">
      <c r="A157" s="215" t="str">
        <f>+A106</f>
        <v>THE BROOKER GROUP PUBLIC COMPANY LIMITED AND ITS SUBSIDIARIES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</row>
    <row r="158" spans="1:12" x14ac:dyDescent="0.4">
      <c r="A158" s="215" t="s">
        <v>242</v>
      </c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</row>
    <row r="159" spans="1:12" x14ac:dyDescent="0.4">
      <c r="A159" s="215" t="str">
        <f>A108</f>
        <v>FOR  THE  THREE-MONTH PERIOD ENDED SEPTEMBER 30,  2017</v>
      </c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</row>
    <row r="160" spans="1:12" x14ac:dyDescent="0.4">
      <c r="A160" s="205"/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</row>
    <row r="161" spans="1:12" x14ac:dyDescent="0.4">
      <c r="C161" s="205"/>
      <c r="F161" s="216" t="s">
        <v>132</v>
      </c>
      <c r="G161" s="216"/>
      <c r="H161" s="216"/>
      <c r="I161" s="216"/>
      <c r="J161" s="216"/>
      <c r="K161" s="216"/>
      <c r="L161" s="216"/>
    </row>
    <row r="162" spans="1:12" x14ac:dyDescent="0.4">
      <c r="C162" s="7" t="s">
        <v>4</v>
      </c>
      <c r="F162" s="217" t="s">
        <v>211</v>
      </c>
      <c r="G162" s="217"/>
      <c r="H162" s="217"/>
      <c r="J162" s="217" t="s">
        <v>212</v>
      </c>
      <c r="K162" s="217"/>
      <c r="L162" s="217"/>
    </row>
    <row r="163" spans="1:12" x14ac:dyDescent="0.4">
      <c r="F163" s="217" t="s">
        <v>371</v>
      </c>
      <c r="G163" s="217"/>
      <c r="H163" s="217"/>
      <c r="J163" s="217" t="s">
        <v>371</v>
      </c>
      <c r="K163" s="217"/>
      <c r="L163" s="217"/>
    </row>
    <row r="164" spans="1:12" x14ac:dyDescent="0.4">
      <c r="D164" s="178" t="s">
        <v>133</v>
      </c>
      <c r="E164" s="27"/>
      <c r="F164" s="181">
        <f>+F113</f>
        <v>2017</v>
      </c>
      <c r="H164" s="181">
        <f>+H113</f>
        <v>2016</v>
      </c>
      <c r="J164" s="181">
        <f>+J113</f>
        <v>2017</v>
      </c>
      <c r="K164" s="207"/>
      <c r="L164" s="181">
        <f>+L113</f>
        <v>2016</v>
      </c>
    </row>
    <row r="165" spans="1:12" x14ac:dyDescent="0.4">
      <c r="A165" s="140"/>
      <c r="F165" s="208"/>
      <c r="G165" s="208"/>
      <c r="H165" s="208"/>
    </row>
    <row r="166" spans="1:12" x14ac:dyDescent="0.4">
      <c r="A166" s="7" t="s">
        <v>243</v>
      </c>
      <c r="F166" s="162">
        <f>+F135</f>
        <v>231419400.88</v>
      </c>
      <c r="G166" s="149"/>
      <c r="H166" s="162">
        <f>+H135</f>
        <v>270248645.05000001</v>
      </c>
      <c r="I166" s="147"/>
      <c r="J166" s="162">
        <f>+J135</f>
        <v>14045786.520000013</v>
      </c>
      <c r="K166" s="147"/>
      <c r="L166" s="162">
        <f>+L135</f>
        <v>311164494.93000001</v>
      </c>
    </row>
    <row r="167" spans="1:12" ht="9" customHeight="1" x14ac:dyDescent="0.4">
      <c r="F167" s="153"/>
      <c r="G167" s="149"/>
      <c r="H167" s="153"/>
      <c r="I167" s="147"/>
      <c r="J167" s="153"/>
      <c r="K167" s="147"/>
      <c r="L167" s="153"/>
    </row>
    <row r="168" spans="1:12" x14ac:dyDescent="0.4">
      <c r="A168" s="7" t="s">
        <v>262</v>
      </c>
      <c r="F168" s="153"/>
      <c r="G168" s="149"/>
      <c r="H168" s="153"/>
      <c r="I168" s="147"/>
      <c r="J168" s="199"/>
      <c r="K168" s="147"/>
      <c r="L168" s="199"/>
    </row>
    <row r="169" spans="1:12" x14ac:dyDescent="0.4">
      <c r="A169" s="7" t="s">
        <v>314</v>
      </c>
      <c r="B169" s="172"/>
      <c r="C169" s="172"/>
      <c r="D169" s="173"/>
      <c r="E169" s="173"/>
      <c r="F169" s="174"/>
      <c r="G169" s="175"/>
      <c r="H169" s="174"/>
      <c r="I169" s="176"/>
      <c r="J169" s="177"/>
      <c r="K169" s="176"/>
      <c r="L169" s="177"/>
    </row>
    <row r="170" spans="1:12" x14ac:dyDescent="0.4">
      <c r="A170" s="172"/>
      <c r="B170" s="7" t="s">
        <v>313</v>
      </c>
      <c r="C170" s="172"/>
      <c r="D170" s="173"/>
      <c r="E170" s="173"/>
      <c r="F170" s="174"/>
      <c r="G170" s="175"/>
      <c r="H170" s="174"/>
      <c r="I170" s="176"/>
      <c r="J170" s="177"/>
      <c r="K170" s="176"/>
      <c r="L170" s="177"/>
    </row>
    <row r="171" spans="1:12" x14ac:dyDescent="0.4">
      <c r="B171" s="7" t="s">
        <v>293</v>
      </c>
      <c r="F171" s="165">
        <v>-22346939.890000001</v>
      </c>
      <c r="G171" s="160"/>
      <c r="H171" s="165">
        <v>-12519015.380000001</v>
      </c>
      <c r="I171" s="152"/>
      <c r="J171" s="199">
        <v>0</v>
      </c>
      <c r="K171" s="152"/>
      <c r="L171" s="199">
        <v>0</v>
      </c>
    </row>
    <row r="172" spans="1:12" ht="8.25" customHeight="1" x14ac:dyDescent="0.4">
      <c r="B172" s="171"/>
      <c r="F172" s="162"/>
      <c r="G172" s="149"/>
      <c r="H172" s="162"/>
      <c r="I172" s="147"/>
      <c r="J172" s="148"/>
      <c r="K172" s="147"/>
      <c r="L172" s="148"/>
    </row>
    <row r="173" spans="1:12" x14ac:dyDescent="0.4">
      <c r="A173" s="7" t="s">
        <v>263</v>
      </c>
      <c r="F173" s="164">
        <f>SUM(F171:F172)</f>
        <v>-22346939.890000001</v>
      </c>
      <c r="G173" s="149"/>
      <c r="H173" s="164">
        <f>SUM(H171:H172)</f>
        <v>-12519015.380000001</v>
      </c>
      <c r="I173" s="147"/>
      <c r="J173" s="164">
        <f>SUM(J171:J172)</f>
        <v>0</v>
      </c>
      <c r="K173" s="147"/>
      <c r="L173" s="164">
        <f>SUM(L171:L172)</f>
        <v>0</v>
      </c>
    </row>
    <row r="174" spans="1:12" x14ac:dyDescent="0.4">
      <c r="F174" s="153"/>
      <c r="G174" s="149"/>
      <c r="H174" s="153"/>
      <c r="I174" s="147"/>
      <c r="J174" s="198"/>
      <c r="K174" s="147"/>
      <c r="L174" s="198"/>
    </row>
    <row r="175" spans="1:12" ht="18.75" thickBot="1" x14ac:dyDescent="0.45">
      <c r="A175" s="7" t="s">
        <v>264</v>
      </c>
      <c r="F175" s="157">
        <f>+F166+F173</f>
        <v>209072460.99000001</v>
      </c>
      <c r="G175" s="149"/>
      <c r="H175" s="157">
        <f>+H166+H173</f>
        <v>257729629.67000002</v>
      </c>
      <c r="I175" s="147"/>
      <c r="J175" s="157">
        <f>+J166+J173</f>
        <v>14045786.520000013</v>
      </c>
      <c r="K175" s="147"/>
      <c r="L175" s="157">
        <f>+L166+L173</f>
        <v>311164494.93000001</v>
      </c>
    </row>
    <row r="176" spans="1:12" ht="18.75" thickTop="1" x14ac:dyDescent="0.4">
      <c r="F176" s="158"/>
      <c r="G176" s="158"/>
      <c r="H176" s="158"/>
      <c r="I176" s="147"/>
      <c r="J176" s="198"/>
      <c r="K176" s="147"/>
      <c r="L176" s="198"/>
    </row>
    <row r="177" spans="1:12" x14ac:dyDescent="0.4">
      <c r="A177" s="18" t="s">
        <v>265</v>
      </c>
      <c r="B177" s="18"/>
      <c r="C177" s="18"/>
      <c r="D177" s="11"/>
      <c r="E177" s="186"/>
      <c r="F177" s="198"/>
      <c r="G177" s="152"/>
      <c r="H177" s="198"/>
      <c r="I177" s="199"/>
      <c r="J177" s="198"/>
      <c r="K177" s="152"/>
      <c r="L177" s="198"/>
    </row>
    <row r="178" spans="1:12" x14ac:dyDescent="0.4">
      <c r="A178" s="18"/>
      <c r="B178" s="18" t="s">
        <v>261</v>
      </c>
      <c r="C178" s="18"/>
      <c r="D178" s="11"/>
      <c r="E178" s="41">
        <v>852812933</v>
      </c>
      <c r="F178" s="165">
        <f>+F175-F179</f>
        <v>210232427.44</v>
      </c>
      <c r="G178" s="160"/>
      <c r="H178" s="165">
        <f>+H175-H179</f>
        <v>268013862.53000003</v>
      </c>
      <c r="I178" s="160"/>
      <c r="J178" s="165">
        <f>+J175-J179</f>
        <v>14045786.520000013</v>
      </c>
      <c r="K178" s="160"/>
      <c r="L178" s="165">
        <f>+L175-L179</f>
        <v>311164494.93000001</v>
      </c>
    </row>
    <row r="179" spans="1:12" x14ac:dyDescent="0.4">
      <c r="A179" s="18"/>
      <c r="B179" s="7" t="s">
        <v>252</v>
      </c>
      <c r="D179" s="11"/>
      <c r="E179" s="41">
        <v>-1541152</v>
      </c>
      <c r="F179" s="165">
        <f>+F139</f>
        <v>-1159966.45</v>
      </c>
      <c r="G179" s="199"/>
      <c r="H179" s="165">
        <f>+H139</f>
        <v>-10284232.859999999</v>
      </c>
      <c r="I179" s="199"/>
      <c r="J179" s="165">
        <f>+J139</f>
        <v>0</v>
      </c>
      <c r="K179" s="199"/>
      <c r="L179" s="165">
        <f>+L139</f>
        <v>0</v>
      </c>
    </row>
    <row r="180" spans="1:12" ht="18.75" thickBot="1" x14ac:dyDescent="0.45">
      <c r="A180" s="18"/>
      <c r="B180" s="18"/>
      <c r="C180" s="18"/>
      <c r="D180" s="11"/>
      <c r="E180" s="41"/>
      <c r="F180" s="166">
        <f>SUM(F178:F179)</f>
        <v>209072460.99000001</v>
      </c>
      <c r="G180" s="152"/>
      <c r="H180" s="166">
        <f>SUM(H178:H179)</f>
        <v>257729629.67000002</v>
      </c>
      <c r="I180" s="152"/>
      <c r="J180" s="166">
        <f>SUM(J178:J179)</f>
        <v>14045786.520000013</v>
      </c>
      <c r="K180" s="152"/>
      <c r="L180" s="166">
        <f>SUM(L178:L179)</f>
        <v>311164494.93000001</v>
      </c>
    </row>
    <row r="181" spans="1:12" ht="18.75" thickTop="1" x14ac:dyDescent="0.4">
      <c r="A181" s="18"/>
      <c r="B181" s="18"/>
      <c r="C181" s="18"/>
      <c r="D181" s="11"/>
      <c r="E181" s="41"/>
      <c r="F181" s="165"/>
      <c r="G181" s="152"/>
      <c r="H181" s="160"/>
      <c r="I181" s="152"/>
      <c r="J181" s="160"/>
      <c r="K181" s="152"/>
      <c r="L181" s="160"/>
    </row>
    <row r="182" spans="1:12" x14ac:dyDescent="0.4">
      <c r="A182" s="13" t="s">
        <v>235</v>
      </c>
      <c r="B182" s="18"/>
      <c r="C182" s="18"/>
      <c r="D182" s="11"/>
      <c r="E182" s="41"/>
      <c r="F182" s="165"/>
      <c r="G182" s="152"/>
      <c r="H182" s="160"/>
      <c r="I182" s="152"/>
      <c r="J182" s="160"/>
      <c r="K182" s="152"/>
      <c r="L182" s="160"/>
    </row>
    <row r="183" spans="1:12" x14ac:dyDescent="0.4">
      <c r="A183" s="18"/>
      <c r="B183" s="18"/>
      <c r="C183" s="18"/>
      <c r="D183" s="11"/>
      <c r="E183" s="41"/>
      <c r="F183" s="165"/>
      <c r="G183" s="152"/>
      <c r="H183" s="160"/>
      <c r="I183" s="152"/>
      <c r="J183" s="160"/>
      <c r="K183" s="152"/>
      <c r="L183" s="160"/>
    </row>
    <row r="184" spans="1:12" x14ac:dyDescent="0.4">
      <c r="A184" s="18"/>
      <c r="B184" s="18"/>
      <c r="C184" s="18"/>
      <c r="D184" s="11"/>
      <c r="E184" s="41"/>
      <c r="F184" s="165"/>
      <c r="G184" s="152"/>
      <c r="H184" s="160"/>
      <c r="I184" s="152"/>
      <c r="J184" s="160"/>
      <c r="K184" s="152"/>
      <c r="L184" s="160"/>
    </row>
    <row r="185" spans="1:12" x14ac:dyDescent="0.4">
      <c r="A185" s="18"/>
      <c r="B185" s="18"/>
      <c r="C185" s="18"/>
      <c r="D185" s="11"/>
      <c r="E185" s="41"/>
      <c r="F185" s="165"/>
      <c r="G185" s="152"/>
      <c r="H185" s="160"/>
      <c r="I185" s="152"/>
      <c r="J185" s="160"/>
      <c r="K185" s="152"/>
      <c r="L185" s="160"/>
    </row>
    <row r="186" spans="1:12" x14ac:dyDescent="0.4">
      <c r="A186" s="18"/>
      <c r="B186" s="18"/>
      <c r="C186" s="18"/>
      <c r="D186" s="11"/>
      <c r="E186" s="41"/>
      <c r="F186" s="165"/>
      <c r="G186" s="152"/>
      <c r="H186" s="160"/>
      <c r="I186" s="152"/>
      <c r="J186" s="160"/>
      <c r="K186" s="152"/>
      <c r="L186" s="160"/>
    </row>
    <row r="187" spans="1:12" x14ac:dyDescent="0.4">
      <c r="A187" s="18"/>
      <c r="B187" s="18"/>
      <c r="C187" s="18"/>
      <c r="D187" s="11"/>
      <c r="E187" s="41"/>
      <c r="F187" s="165"/>
      <c r="G187" s="152"/>
      <c r="H187" s="160"/>
      <c r="I187" s="152"/>
      <c r="J187" s="160"/>
      <c r="K187" s="152"/>
      <c r="L187" s="160"/>
    </row>
    <row r="188" spans="1:12" x14ac:dyDescent="0.4">
      <c r="A188" s="18"/>
      <c r="B188" s="18"/>
      <c r="C188" s="18"/>
      <c r="D188" s="11"/>
      <c r="E188" s="41"/>
      <c r="F188" s="165"/>
      <c r="G188" s="152"/>
      <c r="H188" s="160"/>
      <c r="I188" s="152"/>
      <c r="J188" s="160"/>
      <c r="K188" s="152"/>
      <c r="L188" s="160"/>
    </row>
    <row r="189" spans="1:12" x14ac:dyDescent="0.4">
      <c r="A189" s="18"/>
      <c r="B189" s="18"/>
      <c r="C189" s="18"/>
      <c r="D189" s="11"/>
      <c r="E189" s="41"/>
      <c r="F189" s="165"/>
      <c r="G189" s="152"/>
      <c r="H189" s="160"/>
      <c r="I189" s="152"/>
      <c r="J189" s="160"/>
      <c r="K189" s="152"/>
      <c r="L189" s="160"/>
    </row>
    <row r="190" spans="1:12" x14ac:dyDescent="0.4">
      <c r="A190" s="18"/>
      <c r="B190" s="18"/>
      <c r="C190" s="18"/>
      <c r="D190" s="11"/>
      <c r="E190" s="41"/>
      <c r="F190" s="165"/>
      <c r="G190" s="152"/>
      <c r="H190" s="160"/>
      <c r="I190" s="152"/>
      <c r="J190" s="160"/>
      <c r="K190" s="152"/>
      <c r="L190" s="160"/>
    </row>
    <row r="191" spans="1:12" x14ac:dyDescent="0.4">
      <c r="A191" s="18"/>
      <c r="B191" s="18"/>
      <c r="C191" s="18"/>
      <c r="D191" s="11"/>
      <c r="E191" s="41"/>
      <c r="F191" s="165"/>
      <c r="G191" s="152"/>
      <c r="H191" s="160"/>
      <c r="I191" s="152"/>
      <c r="J191" s="160"/>
      <c r="K191" s="152"/>
      <c r="L191" s="160"/>
    </row>
    <row r="192" spans="1:12" x14ac:dyDescent="0.4">
      <c r="A192" s="18"/>
      <c r="B192" s="18"/>
      <c r="C192" s="18"/>
      <c r="D192" s="11"/>
      <c r="E192" s="41"/>
      <c r="F192" s="165"/>
      <c r="G192" s="152"/>
      <c r="H192" s="160"/>
      <c r="I192" s="152"/>
      <c r="J192" s="160"/>
      <c r="K192" s="152"/>
      <c r="L192" s="160"/>
    </row>
    <row r="193" spans="1:12" x14ac:dyDescent="0.4">
      <c r="A193" s="18"/>
      <c r="B193" s="18"/>
      <c r="C193" s="18"/>
      <c r="D193" s="11"/>
      <c r="E193" s="41"/>
      <c r="F193" s="165"/>
      <c r="G193" s="152"/>
      <c r="H193" s="160"/>
      <c r="I193" s="152"/>
      <c r="J193" s="160"/>
      <c r="K193" s="152"/>
      <c r="L193" s="160"/>
    </row>
    <row r="194" spans="1:12" x14ac:dyDescent="0.4">
      <c r="A194" s="18"/>
      <c r="B194" s="18"/>
      <c r="C194" s="18"/>
      <c r="D194" s="11"/>
      <c r="E194" s="41"/>
      <c r="F194" s="165"/>
      <c r="G194" s="152"/>
      <c r="H194" s="160"/>
      <c r="I194" s="152"/>
      <c r="J194" s="160"/>
      <c r="K194" s="152"/>
      <c r="L194" s="160"/>
    </row>
    <row r="195" spans="1:12" x14ac:dyDescent="0.4">
      <c r="A195" s="18"/>
      <c r="B195" s="18"/>
      <c r="C195" s="18"/>
      <c r="D195" s="11"/>
      <c r="E195" s="41"/>
      <c r="F195" s="165"/>
      <c r="G195" s="152"/>
      <c r="H195" s="160"/>
      <c r="I195" s="152"/>
      <c r="J195" s="160"/>
      <c r="K195" s="152"/>
      <c r="L195" s="160"/>
    </row>
    <row r="196" spans="1:12" x14ac:dyDescent="0.4">
      <c r="A196" s="18"/>
      <c r="B196" s="18"/>
      <c r="C196" s="18"/>
      <c r="D196" s="11"/>
      <c r="E196" s="41"/>
      <c r="F196" s="165"/>
      <c r="G196" s="152"/>
      <c r="H196" s="160"/>
      <c r="I196" s="152"/>
      <c r="J196" s="160"/>
      <c r="K196" s="152"/>
      <c r="L196" s="160"/>
    </row>
    <row r="197" spans="1:12" x14ac:dyDescent="0.4">
      <c r="A197" s="13"/>
    </row>
    <row r="199" spans="1:12" x14ac:dyDescent="0.4">
      <c r="A199" s="207"/>
      <c r="B199" s="24" t="s">
        <v>149</v>
      </c>
      <c r="C199" s="207"/>
      <c r="D199" s="24"/>
      <c r="F199" s="24" t="s">
        <v>149</v>
      </c>
      <c r="I199" s="207"/>
      <c r="J199" s="207"/>
      <c r="K199" s="207"/>
      <c r="L199" s="207"/>
    </row>
    <row r="200" spans="1:12" x14ac:dyDescent="0.4">
      <c r="A200" s="207"/>
      <c r="B200" s="24"/>
      <c r="C200" s="207"/>
      <c r="D200" s="24"/>
      <c r="F200" s="24"/>
      <c r="I200" s="207"/>
      <c r="J200" s="207"/>
      <c r="K200" s="207"/>
      <c r="L200" s="207"/>
    </row>
  </sheetData>
  <mergeCells count="34">
    <mergeCell ref="A107:L107"/>
    <mergeCell ref="A57:L57"/>
    <mergeCell ref="F112:H112"/>
    <mergeCell ref="F163:H163"/>
    <mergeCell ref="J163:L163"/>
    <mergeCell ref="F63:H63"/>
    <mergeCell ref="J63:L63"/>
    <mergeCell ref="A58:L58"/>
    <mergeCell ref="F161:L161"/>
    <mergeCell ref="F162:H162"/>
    <mergeCell ref="J162:L162"/>
    <mergeCell ref="A158:L158"/>
    <mergeCell ref="A159:L159"/>
    <mergeCell ref="A106:L106"/>
    <mergeCell ref="A108:L108"/>
    <mergeCell ref="F110:L110"/>
    <mergeCell ref="F111:H111"/>
    <mergeCell ref="J112:L112"/>
    <mergeCell ref="A154:L154"/>
    <mergeCell ref="A157:L157"/>
    <mergeCell ref="J111:L111"/>
    <mergeCell ref="A3:L3"/>
    <mergeCell ref="A4:L4"/>
    <mergeCell ref="A5:L5"/>
    <mergeCell ref="A54:L54"/>
    <mergeCell ref="F8:H8"/>
    <mergeCell ref="J8:L8"/>
    <mergeCell ref="F9:H9"/>
    <mergeCell ref="J9:L9"/>
    <mergeCell ref="A59:L59"/>
    <mergeCell ref="F7:L7"/>
    <mergeCell ref="F61:L61"/>
    <mergeCell ref="F62:H62"/>
    <mergeCell ref="J62:L62"/>
  </mergeCells>
  <phoneticPr fontId="0" type="noConversion"/>
  <conditionalFormatting sqref="F82:G82 G39 I39:K39 I82:K82 K84:K99 I84:I99 G84:G99 E82:E99">
    <cfRule type="expression" priority="8" stopIfTrue="1">
      <formula>"if(E11&gt;0,#,##0;(#,##0),"-")"</formula>
    </cfRule>
  </conditionalFormatting>
  <conditionalFormatting sqref="L39">
    <cfRule type="expression" priority="7" stopIfTrue="1">
      <formula>"if(E11&gt;0,#,##0;(#,##0),"-")"</formula>
    </cfRule>
  </conditionalFormatting>
  <conditionalFormatting sqref="H82">
    <cfRule type="expression" priority="6" stopIfTrue="1">
      <formula>"if(E11&gt;0,#,##0;(#,##0),"-")"</formula>
    </cfRule>
  </conditionalFormatting>
  <conditionalFormatting sqref="L82">
    <cfRule type="expression" priority="5" stopIfTrue="1">
      <formula>"if(E11&gt;0,#,##0;(#,##0),"-")"</formula>
    </cfRule>
  </conditionalFormatting>
  <conditionalFormatting sqref="K179:K196 I179:I196 G179:G196 F177:G177 E177:E196 G139 I139:K139 I177:K177">
    <cfRule type="expression" priority="4" stopIfTrue="1">
      <formula>"if(E11&gt;0,#,##0;(#,##0),"-")"</formula>
    </cfRule>
  </conditionalFormatting>
  <conditionalFormatting sqref="L139">
    <cfRule type="expression" priority="3" stopIfTrue="1">
      <formula>"if(E11&gt;0,#,##0;(#,##0),"-")"</formula>
    </cfRule>
  </conditionalFormatting>
  <conditionalFormatting sqref="H177">
    <cfRule type="expression" priority="2" stopIfTrue="1">
      <formula>"if(E11&gt;0,#,##0;(#,##0),"-")"</formula>
    </cfRule>
  </conditionalFormatting>
  <conditionalFormatting sqref="L177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r:id="rId1"/>
  <headerFooter alignWithMargins="0">
    <oddFooter>&amp;C&amp;P</oddFooter>
  </headerFooter>
  <rowBreaks count="3" manualBreakCount="3">
    <brk id="54" max="12" man="1"/>
    <brk id="103" max="16383" man="1"/>
    <brk id="15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"/>
  <sheetViews>
    <sheetView view="pageBreakPreview" zoomScale="90" zoomScaleNormal="100" zoomScaleSheetLayoutView="90" workbookViewId="0">
      <selection activeCell="A30" sqref="A30"/>
    </sheetView>
  </sheetViews>
  <sheetFormatPr defaultRowHeight="18" x14ac:dyDescent="0.4"/>
  <cols>
    <col min="1" max="1" width="35.140625" style="7" customWidth="1"/>
    <col min="2" max="2" width="5.140625" style="7" customWidth="1"/>
    <col min="3" max="3" width="1.140625" style="7" customWidth="1"/>
    <col min="4" max="4" width="11.85546875" style="7" customWidth="1"/>
    <col min="5" max="5" width="1.140625" style="7" customWidth="1"/>
    <col min="6" max="6" width="11.28515625" style="7" bestFit="1" customWidth="1"/>
    <col min="7" max="7" width="1.140625" style="7" customWidth="1"/>
    <col min="8" max="8" width="11.85546875" style="7" customWidth="1"/>
    <col min="9" max="9" width="0.85546875" style="7" customWidth="1"/>
    <col min="10" max="10" width="11.28515625" style="7" bestFit="1" customWidth="1"/>
    <col min="11" max="11" width="0.85546875" style="7" customWidth="1"/>
    <col min="12" max="12" width="11.85546875" style="7" customWidth="1"/>
    <col min="13" max="13" width="1" style="7" customWidth="1"/>
    <col min="14" max="14" width="12.85546875" style="7" bestFit="1" customWidth="1"/>
    <col min="15" max="15" width="1" style="7" customWidth="1"/>
    <col min="16" max="16" width="13.42578125" style="7" customWidth="1"/>
    <col min="17" max="17" width="1" style="7" customWidth="1"/>
    <col min="18" max="18" width="13.42578125" style="7" customWidth="1"/>
    <col min="19" max="19" width="1" style="7" customWidth="1"/>
    <col min="20" max="20" width="11.85546875" style="7" customWidth="1"/>
    <col min="21" max="21" width="1" style="7" customWidth="1"/>
    <col min="22" max="22" width="12.28515625" style="7" customWidth="1"/>
    <col min="23" max="23" width="1.140625" style="7" customWidth="1"/>
    <col min="24" max="24" width="12.85546875" style="7" bestFit="1" customWidth="1"/>
    <col min="25" max="25" width="1.140625" style="7" customWidth="1"/>
    <col min="26" max="26" width="11.7109375" style="7" bestFit="1" customWidth="1"/>
    <col min="27" max="27" width="1.140625" style="7" customWidth="1"/>
    <col min="28" max="28" width="12.85546875" style="7" bestFit="1" customWidth="1"/>
    <col min="29" max="29" width="16.85546875" style="7" customWidth="1"/>
    <col min="30" max="16384" width="9.140625" style="7"/>
  </cols>
  <sheetData>
    <row r="1" spans="1:29" ht="21.75" customHeight="1" x14ac:dyDescent="0.4">
      <c r="A1" s="7" t="s">
        <v>205</v>
      </c>
      <c r="Z1" s="221" t="s">
        <v>246</v>
      </c>
      <c r="AA1" s="221"/>
      <c r="AB1" s="221"/>
    </row>
    <row r="2" spans="1:29" x14ac:dyDescent="0.4">
      <c r="A2" s="222" t="s">
        <v>131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</row>
    <row r="3" spans="1:29" x14ac:dyDescent="0.4">
      <c r="A3" s="222" t="s">
        <v>286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</row>
    <row r="4" spans="1:29" ht="18" customHeight="1" x14ac:dyDescent="0.4">
      <c r="A4" s="222" t="s">
        <v>213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</row>
    <row r="5" spans="1:29" x14ac:dyDescent="0.4">
      <c r="A5" s="222" t="s">
        <v>372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</row>
    <row r="6" spans="1:29" ht="7.5" customHeight="1" x14ac:dyDescent="0.4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</row>
    <row r="7" spans="1:29" x14ac:dyDescent="0.4">
      <c r="A7" s="29"/>
      <c r="B7" s="209"/>
      <c r="C7" s="209"/>
      <c r="D7" s="225" t="s">
        <v>171</v>
      </c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</row>
    <row r="8" spans="1:29" x14ac:dyDescent="0.4">
      <c r="A8" s="29"/>
      <c r="B8" s="209"/>
      <c r="C8" s="209"/>
      <c r="D8" s="22"/>
      <c r="E8" s="22"/>
      <c r="F8" s="209"/>
      <c r="G8" s="22"/>
      <c r="H8" s="22"/>
      <c r="I8" s="22"/>
      <c r="J8" s="22"/>
      <c r="K8" s="22"/>
      <c r="L8" s="223" t="s">
        <v>157</v>
      </c>
      <c r="M8" s="223"/>
      <c r="N8" s="223"/>
      <c r="O8" s="12"/>
      <c r="P8" s="224" t="s">
        <v>248</v>
      </c>
      <c r="Q8" s="224"/>
      <c r="R8" s="224"/>
      <c r="S8" s="224"/>
      <c r="T8" s="224"/>
      <c r="U8" s="224"/>
      <c r="V8" s="224"/>
      <c r="W8" s="6"/>
      <c r="X8" s="144"/>
      <c r="Y8" s="143"/>
      <c r="Z8" s="145"/>
      <c r="AA8" s="17"/>
      <c r="AB8" s="17"/>
    </row>
    <row r="9" spans="1:29" x14ac:dyDescent="0.4">
      <c r="D9" s="209"/>
      <c r="E9" s="12"/>
      <c r="F9" s="209"/>
      <c r="G9" s="12"/>
      <c r="H9" s="12"/>
      <c r="I9" s="12"/>
      <c r="J9" s="33" t="s">
        <v>326</v>
      </c>
      <c r="K9" s="12"/>
      <c r="O9" s="33"/>
      <c r="P9" s="33"/>
      <c r="Q9" s="33"/>
      <c r="R9" s="33" t="s">
        <v>335</v>
      </c>
      <c r="S9" s="33"/>
      <c r="T9" s="37" t="s">
        <v>231</v>
      </c>
      <c r="U9" s="37"/>
      <c r="V9" s="35"/>
      <c r="W9" s="12"/>
      <c r="X9" s="27" t="s">
        <v>283</v>
      </c>
      <c r="Y9" s="35"/>
      <c r="Z9" s="17"/>
    </row>
    <row r="10" spans="1:29" x14ac:dyDescent="0.4">
      <c r="B10" s="207"/>
      <c r="D10" s="209" t="s">
        <v>208</v>
      </c>
      <c r="E10" s="36"/>
      <c r="F10" s="209"/>
      <c r="G10" s="36"/>
      <c r="H10" s="209"/>
      <c r="I10" s="33"/>
      <c r="J10" s="33" t="s">
        <v>327</v>
      </c>
      <c r="K10" s="33"/>
      <c r="L10" s="209"/>
      <c r="M10" s="44"/>
      <c r="N10" s="205"/>
      <c r="O10" s="33"/>
      <c r="P10" s="33" t="s">
        <v>176</v>
      </c>
      <c r="Q10" s="33"/>
      <c r="R10" s="33" t="s">
        <v>336</v>
      </c>
      <c r="S10" s="33"/>
      <c r="T10" s="37" t="s">
        <v>232</v>
      </c>
      <c r="U10" s="37"/>
      <c r="V10" s="35" t="s">
        <v>250</v>
      </c>
      <c r="W10" s="12"/>
      <c r="X10" s="6" t="s">
        <v>282</v>
      </c>
      <c r="Y10" s="35"/>
      <c r="Z10" s="35" t="s">
        <v>244</v>
      </c>
    </row>
    <row r="11" spans="1:29" x14ac:dyDescent="0.4">
      <c r="B11" s="207"/>
      <c r="D11" s="209" t="s">
        <v>172</v>
      </c>
      <c r="E11" s="36"/>
      <c r="F11" s="209"/>
      <c r="G11" s="36"/>
      <c r="H11" s="209" t="s">
        <v>351</v>
      </c>
      <c r="I11" s="33"/>
      <c r="J11" s="209" t="s">
        <v>324</v>
      </c>
      <c r="K11" s="33"/>
      <c r="L11" s="209" t="s">
        <v>180</v>
      </c>
      <c r="M11" s="44"/>
      <c r="N11" s="205"/>
      <c r="O11" s="33"/>
      <c r="P11" s="33" t="s">
        <v>177</v>
      </c>
      <c r="Q11" s="33"/>
      <c r="R11" s="33" t="s">
        <v>337</v>
      </c>
      <c r="S11" s="33"/>
      <c r="T11" s="37" t="s">
        <v>253</v>
      </c>
      <c r="U11" s="37"/>
      <c r="V11" s="33" t="s">
        <v>251</v>
      </c>
      <c r="W11" s="12"/>
      <c r="X11" s="6" t="s">
        <v>233</v>
      </c>
      <c r="Y11" s="35"/>
      <c r="Z11" s="35" t="s">
        <v>245</v>
      </c>
    </row>
    <row r="12" spans="1:29" x14ac:dyDescent="0.4">
      <c r="B12" s="146" t="s">
        <v>230</v>
      </c>
      <c r="D12" s="206" t="s">
        <v>173</v>
      </c>
      <c r="E12" s="38"/>
      <c r="F12" s="146" t="s">
        <v>268</v>
      </c>
      <c r="G12" s="38"/>
      <c r="H12" s="206" t="s">
        <v>174</v>
      </c>
      <c r="I12" s="37"/>
      <c r="J12" s="206" t="s">
        <v>325</v>
      </c>
      <c r="K12" s="37"/>
      <c r="L12" s="206" t="s">
        <v>181</v>
      </c>
      <c r="M12" s="44"/>
      <c r="N12" s="206" t="s">
        <v>159</v>
      </c>
      <c r="O12" s="37"/>
      <c r="P12" s="211" t="s">
        <v>178</v>
      </c>
      <c r="Q12" s="37"/>
      <c r="R12" s="211" t="s">
        <v>338</v>
      </c>
      <c r="S12" s="37"/>
      <c r="T12" s="211" t="s">
        <v>254</v>
      </c>
      <c r="U12" s="37"/>
      <c r="V12" s="211" t="s">
        <v>249</v>
      </c>
      <c r="W12" s="12"/>
      <c r="X12" s="206" t="s">
        <v>234</v>
      </c>
      <c r="Y12" s="35"/>
      <c r="Z12" s="210" t="s">
        <v>274</v>
      </c>
      <c r="AB12" s="206" t="s">
        <v>182</v>
      </c>
      <c r="AC12" s="37"/>
    </row>
    <row r="13" spans="1:29" x14ac:dyDescent="0.4">
      <c r="C13" s="37"/>
      <c r="D13" s="152"/>
      <c r="E13" s="152"/>
      <c r="F13" s="152"/>
      <c r="G13" s="152"/>
      <c r="H13" s="152"/>
      <c r="I13" s="152"/>
      <c r="J13" s="152"/>
      <c r="K13" s="152"/>
      <c r="L13" s="155"/>
      <c r="M13" s="155"/>
      <c r="N13" s="155"/>
      <c r="O13" s="152"/>
      <c r="P13" s="152"/>
      <c r="Q13" s="152"/>
      <c r="R13" s="152"/>
      <c r="S13" s="152"/>
      <c r="T13" s="155"/>
      <c r="U13" s="155"/>
      <c r="V13" s="155"/>
      <c r="W13" s="152"/>
      <c r="X13" s="155"/>
      <c r="Y13" s="155"/>
      <c r="Z13" s="155"/>
      <c r="AA13" s="147"/>
      <c r="AB13" s="155"/>
    </row>
    <row r="14" spans="1:29" x14ac:dyDescent="0.4">
      <c r="A14" s="18" t="s">
        <v>318</v>
      </c>
      <c r="B14" s="39"/>
      <c r="C14" s="39"/>
      <c r="D14" s="199">
        <v>594358093.13</v>
      </c>
      <c r="E14" s="199"/>
      <c r="F14" s="199">
        <v>8720308.75</v>
      </c>
      <c r="G14" s="199"/>
      <c r="H14" s="199">
        <v>62902418.289999999</v>
      </c>
      <c r="I14" s="199"/>
      <c r="J14" s="199">
        <v>73790.080000000002</v>
      </c>
      <c r="K14" s="199"/>
      <c r="L14" s="199">
        <v>53308170.049999997</v>
      </c>
      <c r="M14" s="199"/>
      <c r="N14" s="199">
        <v>1105728242.73</v>
      </c>
      <c r="O14" s="199"/>
      <c r="P14" s="199">
        <v>94920870.530000001</v>
      </c>
      <c r="Q14" s="199"/>
      <c r="R14" s="199">
        <v>0</v>
      </c>
      <c r="S14" s="199"/>
      <c r="T14" s="199">
        <v>0</v>
      </c>
      <c r="U14" s="199"/>
      <c r="V14" s="199">
        <f>SUM(P14:U14)</f>
        <v>94920870.530000001</v>
      </c>
      <c r="W14" s="199"/>
      <c r="X14" s="199">
        <f>SUM(D14:O14)+V14</f>
        <v>1920011893.5599999</v>
      </c>
      <c r="Y14" s="199"/>
      <c r="Z14" s="199">
        <v>110916404.67</v>
      </c>
      <c r="AA14" s="152"/>
      <c r="AB14" s="199">
        <f>SUM(X14:Z14)</f>
        <v>2030928298.23</v>
      </c>
    </row>
    <row r="15" spans="1:29" x14ac:dyDescent="0.4">
      <c r="A15" s="17" t="s">
        <v>304</v>
      </c>
      <c r="B15" s="27"/>
      <c r="C15" s="3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52"/>
      <c r="AB15" s="199"/>
    </row>
    <row r="16" spans="1:29" x14ac:dyDescent="0.4">
      <c r="A16" s="18" t="s">
        <v>300</v>
      </c>
      <c r="B16" s="27"/>
      <c r="C16" s="39"/>
      <c r="D16" s="199">
        <v>110342515.12</v>
      </c>
      <c r="E16" s="199"/>
      <c r="F16" s="199">
        <v>-8720308.75</v>
      </c>
      <c r="G16" s="199"/>
      <c r="H16" s="199">
        <v>81987738.819999993</v>
      </c>
      <c r="I16" s="199"/>
      <c r="J16" s="199">
        <v>-73790.080000000002</v>
      </c>
      <c r="K16" s="199"/>
      <c r="L16" s="199">
        <v>0</v>
      </c>
      <c r="M16" s="199"/>
      <c r="N16" s="199">
        <v>0</v>
      </c>
      <c r="O16" s="199"/>
      <c r="P16" s="199">
        <v>0</v>
      </c>
      <c r="Q16" s="199"/>
      <c r="R16" s="199">
        <v>0</v>
      </c>
      <c r="S16" s="199"/>
      <c r="T16" s="199">
        <v>0</v>
      </c>
      <c r="U16" s="199"/>
      <c r="V16" s="199">
        <f>SUM(P16:U16)</f>
        <v>0</v>
      </c>
      <c r="W16" s="199"/>
      <c r="X16" s="199">
        <f>SUM(D16:O16)+V16</f>
        <v>183536155.10999998</v>
      </c>
      <c r="Y16" s="199"/>
      <c r="Z16" s="199">
        <v>0</v>
      </c>
      <c r="AA16" s="199"/>
      <c r="AB16" s="199">
        <f>SUM(X16:Z16)</f>
        <v>183536155.10999998</v>
      </c>
    </row>
    <row r="17" spans="1:28" hidden="1" x14ac:dyDescent="0.4">
      <c r="A17" s="17" t="s">
        <v>323</v>
      </c>
      <c r="B17" s="27"/>
      <c r="C17" s="39"/>
      <c r="D17" s="199">
        <v>0</v>
      </c>
      <c r="E17" s="199"/>
      <c r="F17" s="199">
        <v>0</v>
      </c>
      <c r="G17" s="199"/>
      <c r="H17" s="199">
        <v>0</v>
      </c>
      <c r="I17" s="199"/>
      <c r="J17" s="199">
        <v>0</v>
      </c>
      <c r="K17" s="199"/>
      <c r="L17" s="198">
        <v>0</v>
      </c>
      <c r="M17" s="198"/>
      <c r="N17" s="198">
        <f>+'PL_Q3-60'!H37</f>
        <v>0</v>
      </c>
      <c r="O17" s="199"/>
      <c r="P17" s="199">
        <v>0</v>
      </c>
      <c r="Q17" s="199"/>
      <c r="R17" s="199">
        <v>0</v>
      </c>
      <c r="S17" s="199"/>
      <c r="T17" s="198">
        <v>0</v>
      </c>
      <c r="U17" s="198"/>
      <c r="V17" s="198">
        <f>SUM(P17:U17)</f>
        <v>0</v>
      </c>
      <c r="W17" s="199"/>
      <c r="X17" s="199">
        <f>SUM(D17:O17)+V17</f>
        <v>0</v>
      </c>
      <c r="Y17" s="199"/>
      <c r="Z17" s="199">
        <v>0</v>
      </c>
      <c r="AA17" s="199"/>
      <c r="AB17" s="199">
        <f>SUM(X17:Z17)</f>
        <v>0</v>
      </c>
    </row>
    <row r="18" spans="1:28" x14ac:dyDescent="0.4">
      <c r="A18" s="17" t="s">
        <v>332</v>
      </c>
      <c r="B18" s="27"/>
      <c r="C18" s="39"/>
      <c r="D18" s="199">
        <v>0</v>
      </c>
      <c r="E18" s="199"/>
      <c r="F18" s="199">
        <v>0</v>
      </c>
      <c r="G18" s="199"/>
      <c r="H18" s="199">
        <v>0</v>
      </c>
      <c r="I18" s="199"/>
      <c r="J18" s="199">
        <v>0</v>
      </c>
      <c r="K18" s="199"/>
      <c r="L18" s="198">
        <v>0</v>
      </c>
      <c r="M18" s="198"/>
      <c r="N18" s="198">
        <v>-332356252.88</v>
      </c>
      <c r="O18" s="199"/>
      <c r="P18" s="199">
        <v>0</v>
      </c>
      <c r="Q18" s="199"/>
      <c r="R18" s="199">
        <v>0</v>
      </c>
      <c r="S18" s="199"/>
      <c r="T18" s="198">
        <v>0</v>
      </c>
      <c r="U18" s="198"/>
      <c r="V18" s="198">
        <f>SUM(P18:U18)</f>
        <v>0</v>
      </c>
      <c r="W18" s="199"/>
      <c r="X18" s="199">
        <f>SUM(D18:O18)+V18</f>
        <v>-332356252.88</v>
      </c>
      <c r="Y18" s="199"/>
      <c r="Z18" s="199">
        <v>0</v>
      </c>
      <c r="AA18" s="199"/>
      <c r="AB18" s="199">
        <f>SUM(X18:Z18)</f>
        <v>-332356252.88</v>
      </c>
    </row>
    <row r="19" spans="1:28" x14ac:dyDescent="0.4">
      <c r="A19" s="40" t="s">
        <v>311</v>
      </c>
      <c r="D19" s="199">
        <v>0</v>
      </c>
      <c r="E19" s="199"/>
      <c r="F19" s="199">
        <v>0</v>
      </c>
      <c r="G19" s="199"/>
      <c r="H19" s="199">
        <v>0</v>
      </c>
      <c r="I19" s="199"/>
      <c r="J19" s="199">
        <v>0</v>
      </c>
      <c r="K19" s="199"/>
      <c r="L19" s="198">
        <v>0</v>
      </c>
      <c r="M19" s="198"/>
      <c r="N19" s="198">
        <f>+'PL_Q3-60'!H38</f>
        <v>408251038.22000003</v>
      </c>
      <c r="O19" s="199"/>
      <c r="P19" s="199">
        <v>-36835170.490000002</v>
      </c>
      <c r="Q19" s="199"/>
      <c r="R19" s="199">
        <v>0</v>
      </c>
      <c r="S19" s="199"/>
      <c r="T19" s="198">
        <v>0</v>
      </c>
      <c r="U19" s="198"/>
      <c r="V19" s="198">
        <f>SUM(P19:U19)</f>
        <v>-36835170.490000002</v>
      </c>
      <c r="W19" s="199"/>
      <c r="X19" s="199">
        <f>SUM(D19:O19)+V19</f>
        <v>371415867.73000002</v>
      </c>
      <c r="Y19" s="199"/>
      <c r="Z19" s="199">
        <v>-53131477.710000001</v>
      </c>
      <c r="AA19" s="199"/>
      <c r="AB19" s="199">
        <f>SUM(X19:Z19)</f>
        <v>318284390.02000004</v>
      </c>
    </row>
    <row r="20" spans="1:28" s="17" customFormat="1" ht="9.75" customHeight="1" x14ac:dyDescent="0.4">
      <c r="A20" s="7"/>
      <c r="B20" s="207"/>
      <c r="C20" s="7"/>
      <c r="D20" s="148"/>
      <c r="E20" s="152"/>
      <c r="F20" s="148"/>
      <c r="G20" s="152"/>
      <c r="H20" s="148"/>
      <c r="I20" s="199"/>
      <c r="J20" s="148"/>
      <c r="K20" s="199"/>
      <c r="L20" s="148"/>
      <c r="M20" s="156"/>
      <c r="N20" s="148"/>
      <c r="O20" s="199"/>
      <c r="P20" s="148"/>
      <c r="Q20" s="199"/>
      <c r="R20" s="148"/>
      <c r="S20" s="199"/>
      <c r="T20" s="148"/>
      <c r="U20" s="199"/>
      <c r="V20" s="148"/>
      <c r="W20" s="152"/>
      <c r="X20" s="148"/>
      <c r="Y20" s="199"/>
      <c r="Z20" s="148"/>
      <c r="AA20" s="152"/>
      <c r="AB20" s="148"/>
    </row>
    <row r="21" spans="1:28" ht="10.5" customHeight="1" x14ac:dyDescent="0.4"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9"/>
      <c r="Y21" s="199"/>
      <c r="Z21" s="199"/>
      <c r="AA21" s="147"/>
      <c r="AB21" s="147"/>
    </row>
    <row r="22" spans="1:28" ht="18.75" thickBot="1" x14ac:dyDescent="0.45">
      <c r="A22" s="18" t="s">
        <v>373</v>
      </c>
      <c r="D22" s="157">
        <f>SUM(D14:D20)</f>
        <v>704700608.25</v>
      </c>
      <c r="E22" s="198"/>
      <c r="F22" s="157">
        <f>SUM(F14:F20)</f>
        <v>0</v>
      </c>
      <c r="G22" s="198"/>
      <c r="H22" s="157">
        <f>SUM(H14:H20)</f>
        <v>144890157.10999998</v>
      </c>
      <c r="I22" s="199"/>
      <c r="J22" s="157">
        <f>SUM(J14:J20)</f>
        <v>0</v>
      </c>
      <c r="K22" s="199"/>
      <c r="L22" s="157">
        <f>SUM(L14:L20)</f>
        <v>53308170.049999997</v>
      </c>
      <c r="M22" s="198"/>
      <c r="N22" s="157">
        <f>SUM(N14:N20)</f>
        <v>1181623028.0700002</v>
      </c>
      <c r="O22" s="199"/>
      <c r="P22" s="157">
        <f>SUM(P14:P20)</f>
        <v>58085700.039999999</v>
      </c>
      <c r="Q22" s="199"/>
      <c r="R22" s="157">
        <f>SUM(R14:R20)</f>
        <v>0</v>
      </c>
      <c r="S22" s="199"/>
      <c r="T22" s="157">
        <f>SUM(T14:T20)</f>
        <v>0</v>
      </c>
      <c r="U22" s="199"/>
      <c r="V22" s="157">
        <f>SUM(V14:V20)</f>
        <v>58085700.039999999</v>
      </c>
      <c r="W22" s="198"/>
      <c r="X22" s="157">
        <f>SUM(X14:X20)</f>
        <v>2142607663.52</v>
      </c>
      <c r="Y22" s="199"/>
      <c r="Z22" s="157">
        <f>SUM(Z14:Z20)</f>
        <v>57784926.960000001</v>
      </c>
      <c r="AA22" s="147"/>
      <c r="AB22" s="157">
        <f>SUM(AB14:AB20)</f>
        <v>2200392590.48</v>
      </c>
    </row>
    <row r="23" spans="1:28" ht="12" customHeight="1" thickTop="1" x14ac:dyDescent="0.4"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52"/>
      <c r="Y23" s="152"/>
      <c r="Z23" s="152"/>
      <c r="AA23" s="147"/>
      <c r="AB23" s="147"/>
    </row>
    <row r="24" spans="1:28" x14ac:dyDescent="0.4">
      <c r="A24" s="18" t="s">
        <v>350</v>
      </c>
      <c r="B24" s="39"/>
      <c r="C24" s="39"/>
      <c r="D24" s="199">
        <v>704700608.25</v>
      </c>
      <c r="E24" s="199"/>
      <c r="F24" s="199">
        <v>0</v>
      </c>
      <c r="G24" s="199"/>
      <c r="H24" s="199">
        <v>144890157.11000001</v>
      </c>
      <c r="I24" s="199"/>
      <c r="J24" s="199">
        <v>0</v>
      </c>
      <c r="K24" s="199"/>
      <c r="L24" s="199">
        <v>70591864.099999994</v>
      </c>
      <c r="M24" s="199"/>
      <c r="N24" s="199">
        <v>1561841705.8499999</v>
      </c>
      <c r="O24" s="199"/>
      <c r="P24" s="199">
        <v>88770937.790000007</v>
      </c>
      <c r="Q24" s="199"/>
      <c r="R24" s="199">
        <v>0</v>
      </c>
      <c r="S24" s="199"/>
      <c r="T24" s="199">
        <v>0</v>
      </c>
      <c r="U24" s="199"/>
      <c r="V24" s="199">
        <f>SUM(P24:U24)</f>
        <v>88770937.790000007</v>
      </c>
      <c r="W24" s="199"/>
      <c r="X24" s="199">
        <f>SUM(D24:O24)+V24</f>
        <v>2570795273.0999999</v>
      </c>
      <c r="Y24" s="199"/>
      <c r="Z24" s="199">
        <v>56736251.079999998</v>
      </c>
      <c r="AA24" s="152"/>
      <c r="AB24" s="199">
        <f>SUM(X24:Z24)</f>
        <v>2627531524.1799998</v>
      </c>
    </row>
    <row r="25" spans="1:28" x14ac:dyDescent="0.4">
      <c r="A25" s="17" t="s">
        <v>305</v>
      </c>
      <c r="B25" s="27"/>
      <c r="C25" s="3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52"/>
      <c r="AB25" s="199"/>
    </row>
    <row r="26" spans="1:28" x14ac:dyDescent="0.4">
      <c r="A26" s="17" t="s">
        <v>332</v>
      </c>
      <c r="B26" s="27">
        <v>21</v>
      </c>
      <c r="C26" s="39"/>
      <c r="D26" s="199">
        <v>0</v>
      </c>
      <c r="E26" s="199"/>
      <c r="F26" s="199">
        <v>0</v>
      </c>
      <c r="G26" s="199"/>
      <c r="H26" s="199">
        <v>0</v>
      </c>
      <c r="I26" s="199"/>
      <c r="J26" s="199">
        <v>0</v>
      </c>
      <c r="K26" s="199"/>
      <c r="L26" s="198">
        <v>0</v>
      </c>
      <c r="M26" s="199"/>
      <c r="N26" s="199">
        <f>-338256291.96-53610648</f>
        <v>-391866939.95999998</v>
      </c>
      <c r="O26" s="199"/>
      <c r="P26" s="199">
        <v>0</v>
      </c>
      <c r="Q26" s="199"/>
      <c r="R26" s="199">
        <v>0</v>
      </c>
      <c r="S26" s="199"/>
      <c r="T26" s="199">
        <v>0</v>
      </c>
      <c r="U26" s="199"/>
      <c r="V26" s="199">
        <f>SUM(P26:U26)</f>
        <v>0</v>
      </c>
      <c r="W26" s="199"/>
      <c r="X26" s="199">
        <f>SUM(D26:O26)+V26</f>
        <v>-391866939.95999998</v>
      </c>
      <c r="Y26" s="199"/>
      <c r="Z26" s="199">
        <v>0</v>
      </c>
      <c r="AA26" s="152"/>
      <c r="AB26" s="199">
        <f>SUM(X26:Z26)</f>
        <v>-391866939.95999998</v>
      </c>
    </row>
    <row r="27" spans="1:28" hidden="1" x14ac:dyDescent="0.4">
      <c r="A27" s="24" t="s">
        <v>285</v>
      </c>
      <c r="B27" s="27"/>
      <c r="C27" s="39"/>
      <c r="D27" s="199">
        <v>0</v>
      </c>
      <c r="E27" s="198"/>
      <c r="F27" s="199">
        <v>0</v>
      </c>
      <c r="G27" s="198"/>
      <c r="H27" s="199">
        <v>0</v>
      </c>
      <c r="I27" s="199"/>
      <c r="J27" s="199">
        <v>0</v>
      </c>
      <c r="K27" s="199"/>
      <c r="L27" s="199">
        <v>0</v>
      </c>
      <c r="M27" s="198"/>
      <c r="N27" s="199">
        <f>-L27</f>
        <v>0</v>
      </c>
      <c r="O27" s="199"/>
      <c r="P27" s="199">
        <v>0</v>
      </c>
      <c r="Q27" s="199"/>
      <c r="R27" s="199">
        <v>0</v>
      </c>
      <c r="S27" s="199"/>
      <c r="T27" s="199">
        <v>0</v>
      </c>
      <c r="U27" s="199"/>
      <c r="V27" s="199">
        <f>SUM(P27:U27)</f>
        <v>0</v>
      </c>
      <c r="W27" s="198"/>
      <c r="X27" s="199">
        <f>SUM(D27:O27)+V27</f>
        <v>0</v>
      </c>
      <c r="Y27" s="199"/>
      <c r="Z27" s="199">
        <v>0</v>
      </c>
      <c r="AA27" s="147"/>
      <c r="AB27" s="199">
        <f>SUM(X27:Z27)</f>
        <v>0</v>
      </c>
    </row>
    <row r="28" spans="1:28" x14ac:dyDescent="0.4">
      <c r="A28" s="18" t="s">
        <v>311</v>
      </c>
      <c r="B28" s="27"/>
      <c r="C28" s="39"/>
      <c r="D28" s="199">
        <v>0</v>
      </c>
      <c r="E28" s="199"/>
      <c r="F28" s="199">
        <v>0</v>
      </c>
      <c r="G28" s="199"/>
      <c r="H28" s="199">
        <v>0</v>
      </c>
      <c r="I28" s="199"/>
      <c r="J28" s="199">
        <v>0</v>
      </c>
      <c r="K28" s="199"/>
      <c r="L28" s="199">
        <v>0</v>
      </c>
      <c r="M28" s="199"/>
      <c r="N28" s="199">
        <f>+'PL_Q3-60'!F38</f>
        <v>328578353.64000005</v>
      </c>
      <c r="O28" s="199"/>
      <c r="P28" s="199">
        <f>+'PL_Q3-60'!F71</f>
        <v>-72861034.909999996</v>
      </c>
      <c r="Q28" s="199"/>
      <c r="R28" s="199">
        <f>-R31</f>
        <v>-1475301.6</v>
      </c>
      <c r="S28" s="199"/>
      <c r="T28" s="199">
        <v>0</v>
      </c>
      <c r="U28" s="199"/>
      <c r="V28" s="199">
        <f>SUM(P28:U28)</f>
        <v>-74336336.50999999</v>
      </c>
      <c r="W28" s="199"/>
      <c r="X28" s="199">
        <f>SUM(D28:O28)+V28</f>
        <v>254242017.13000005</v>
      </c>
      <c r="Y28" s="199"/>
      <c r="Z28" s="199">
        <f>+'PL_Q3-60'!F39-Z29</f>
        <v>22011562.399999999</v>
      </c>
      <c r="AA28" s="152"/>
      <c r="AB28" s="199">
        <f>SUM(X28:Z28)</f>
        <v>276253579.53000003</v>
      </c>
    </row>
    <row r="29" spans="1:28" x14ac:dyDescent="0.4">
      <c r="A29" s="18" t="s">
        <v>359</v>
      </c>
      <c r="B29" s="27"/>
      <c r="C29" s="39"/>
      <c r="D29" s="199">
        <v>0</v>
      </c>
      <c r="E29" s="198"/>
      <c r="F29" s="199">
        <v>0</v>
      </c>
      <c r="G29" s="198"/>
      <c r="H29" s="199">
        <v>0</v>
      </c>
      <c r="I29" s="199"/>
      <c r="J29" s="199">
        <v>0</v>
      </c>
      <c r="K29" s="199"/>
      <c r="L29" s="199">
        <v>0</v>
      </c>
      <c r="M29" s="199"/>
      <c r="N29" s="199">
        <v>0</v>
      </c>
      <c r="O29" s="199"/>
      <c r="P29" s="199">
        <v>0</v>
      </c>
      <c r="Q29" s="199"/>
      <c r="R29" s="199">
        <v>0</v>
      </c>
      <c r="S29" s="199"/>
      <c r="T29" s="199">
        <v>-450</v>
      </c>
      <c r="U29" s="199"/>
      <c r="V29" s="199">
        <f>SUM(P29:U29)</f>
        <v>-450</v>
      </c>
      <c r="W29" s="199"/>
      <c r="X29" s="199">
        <f>SUM(D29:O29)+V29</f>
        <v>-450</v>
      </c>
      <c r="Y29" s="199"/>
      <c r="Z29" s="199">
        <f>-T29</f>
        <v>450</v>
      </c>
      <c r="AA29" s="152"/>
      <c r="AB29" s="199">
        <f>SUM(X29:Z29)</f>
        <v>0</v>
      </c>
    </row>
    <row r="30" spans="1:28" x14ac:dyDescent="0.4">
      <c r="A30" s="7" t="s">
        <v>333</v>
      </c>
      <c r="B30" s="27"/>
      <c r="C30" s="39"/>
      <c r="D30" s="199"/>
      <c r="E30" s="198"/>
      <c r="F30" s="199"/>
      <c r="G30" s="198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52"/>
      <c r="AB30" s="199"/>
    </row>
    <row r="31" spans="1:28" x14ac:dyDescent="0.4">
      <c r="A31" s="7" t="s">
        <v>334</v>
      </c>
      <c r="B31" s="207"/>
      <c r="D31" s="199">
        <v>0</v>
      </c>
      <c r="E31" s="198"/>
      <c r="F31" s="199">
        <v>0</v>
      </c>
      <c r="G31" s="198"/>
      <c r="H31" s="199">
        <v>0</v>
      </c>
      <c r="I31" s="199"/>
      <c r="J31" s="199">
        <v>0</v>
      </c>
      <c r="K31" s="199"/>
      <c r="L31" s="199">
        <v>0</v>
      </c>
      <c r="M31" s="198"/>
      <c r="N31" s="199">
        <v>-1475301.6</v>
      </c>
      <c r="O31" s="199"/>
      <c r="P31" s="199">
        <v>0</v>
      </c>
      <c r="Q31" s="199"/>
      <c r="R31" s="199">
        <f>-N31</f>
        <v>1475301.6</v>
      </c>
      <c r="S31" s="199"/>
      <c r="T31" s="199">
        <v>0</v>
      </c>
      <c r="U31" s="199"/>
      <c r="V31" s="199">
        <f>SUM(P31:U31)</f>
        <v>1475301.6</v>
      </c>
      <c r="W31" s="198"/>
      <c r="X31" s="199">
        <f>SUM(D31:O31)+V31</f>
        <v>0</v>
      </c>
      <c r="Y31" s="199"/>
      <c r="Z31" s="199">
        <v>0</v>
      </c>
      <c r="AA31" s="147"/>
      <c r="AB31" s="199">
        <f>SUM(X31:Z31)</f>
        <v>0</v>
      </c>
    </row>
    <row r="32" spans="1:28" ht="9" customHeight="1" x14ac:dyDescent="0.4">
      <c r="B32" s="207"/>
      <c r="D32" s="148"/>
      <c r="E32" s="152"/>
      <c r="F32" s="148"/>
      <c r="G32" s="152"/>
      <c r="H32" s="148"/>
      <c r="I32" s="199"/>
      <c r="J32" s="148"/>
      <c r="K32" s="199"/>
      <c r="L32" s="148"/>
      <c r="M32" s="156"/>
      <c r="N32" s="148"/>
      <c r="O32" s="199"/>
      <c r="P32" s="148"/>
      <c r="Q32" s="199"/>
      <c r="R32" s="148"/>
      <c r="S32" s="199"/>
      <c r="T32" s="148"/>
      <c r="U32" s="199"/>
      <c r="V32" s="148"/>
      <c r="W32" s="152"/>
      <c r="X32" s="148"/>
      <c r="Y32" s="199"/>
      <c r="Z32" s="148"/>
      <c r="AA32" s="152"/>
      <c r="AB32" s="148"/>
    </row>
    <row r="33" spans="1:37" ht="11.25" customHeight="1" x14ac:dyDescent="0.4"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199"/>
      <c r="Y33" s="199"/>
      <c r="Z33" s="199"/>
      <c r="AA33" s="147"/>
      <c r="AB33" s="147"/>
    </row>
    <row r="34" spans="1:37" ht="18.75" thickBot="1" x14ac:dyDescent="0.45">
      <c r="A34" s="18" t="s">
        <v>374</v>
      </c>
      <c r="D34" s="157">
        <f>SUM(D24:D33)</f>
        <v>704700608.25</v>
      </c>
      <c r="E34" s="198"/>
      <c r="F34" s="157">
        <f>SUM(F24:F33)</f>
        <v>0</v>
      </c>
      <c r="G34" s="198"/>
      <c r="H34" s="157">
        <f>SUM(H24:H33)</f>
        <v>144890157.11000001</v>
      </c>
      <c r="I34" s="199"/>
      <c r="J34" s="157">
        <f>SUM(J24:J33)</f>
        <v>0</v>
      </c>
      <c r="K34" s="199"/>
      <c r="L34" s="157">
        <f>SUM(L24:L33)</f>
        <v>70591864.099999994</v>
      </c>
      <c r="M34" s="198"/>
      <c r="N34" s="157">
        <f>SUM(N24:N33)</f>
        <v>1497077817.9300001</v>
      </c>
      <c r="O34" s="199"/>
      <c r="P34" s="157">
        <f>SUM(P24:P33)</f>
        <v>15909902.88000001</v>
      </c>
      <c r="Q34" s="199"/>
      <c r="R34" s="157">
        <f>SUM(R24:R33)</f>
        <v>0</v>
      </c>
      <c r="S34" s="199"/>
      <c r="T34" s="157">
        <f>SUM(T24:T33)</f>
        <v>-450</v>
      </c>
      <c r="U34" s="199"/>
      <c r="V34" s="157">
        <f>SUM(V24:V33)</f>
        <v>15909452.880000016</v>
      </c>
      <c r="W34" s="198"/>
      <c r="X34" s="157">
        <f>SUM(X24:X33)</f>
        <v>2433169900.27</v>
      </c>
      <c r="Y34" s="199"/>
      <c r="Z34" s="157">
        <f>SUM(Z24:Z33)</f>
        <v>78748263.479999989</v>
      </c>
      <c r="AA34" s="147"/>
      <c r="AB34" s="157">
        <f>SUM(AB24:AB33)</f>
        <v>2511918163.75</v>
      </c>
    </row>
    <row r="35" spans="1:37" ht="18.75" thickTop="1" x14ac:dyDescent="0.4"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</row>
    <row r="36" spans="1:37" x14ac:dyDescent="0.4"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</row>
    <row r="37" spans="1:37" x14ac:dyDescent="0.4">
      <c r="A37" s="13" t="s">
        <v>235</v>
      </c>
    </row>
    <row r="38" spans="1:37" x14ac:dyDescent="0.4">
      <c r="A38" s="13"/>
    </row>
    <row r="39" spans="1:37" x14ac:dyDescent="0.4">
      <c r="A39" s="13"/>
    </row>
    <row r="42" spans="1:37" x14ac:dyDescent="0.4">
      <c r="A42" s="24" t="s">
        <v>149</v>
      </c>
      <c r="C42" s="207"/>
      <c r="D42" s="24"/>
      <c r="E42" s="207"/>
      <c r="F42" s="207"/>
      <c r="G42" s="207"/>
      <c r="H42" s="24" t="s">
        <v>149</v>
      </c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07"/>
      <c r="X42" s="207"/>
      <c r="Y42" s="207"/>
      <c r="Z42" s="207"/>
      <c r="AA42" s="20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x14ac:dyDescent="0.4">
      <c r="A43" s="214"/>
      <c r="B43" s="214"/>
      <c r="D43" s="24"/>
      <c r="E43" s="24"/>
      <c r="F43" s="24"/>
      <c r="G43" s="24"/>
      <c r="H43" s="24"/>
      <c r="I43" s="24"/>
      <c r="J43" s="24"/>
      <c r="K43" s="24"/>
      <c r="L43" s="207"/>
      <c r="M43" s="24"/>
      <c r="N43" s="207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x14ac:dyDescent="0.4">
      <c r="A44" s="25"/>
    </row>
  </sheetData>
  <mergeCells count="9">
    <mergeCell ref="Z1:AB1"/>
    <mergeCell ref="A43:B43"/>
    <mergeCell ref="A2:AB2"/>
    <mergeCell ref="A5:AB5"/>
    <mergeCell ref="A4:AB4"/>
    <mergeCell ref="L8:N8"/>
    <mergeCell ref="P8:V8"/>
    <mergeCell ref="D7:AB7"/>
    <mergeCell ref="A3:AB3"/>
  </mergeCells>
  <phoneticPr fontId="0" type="noConversion"/>
  <printOptions horizontalCentered="1"/>
  <pageMargins left="0" right="0" top="0.43307086614173229" bottom="0" header="0.23622047244094491" footer="0"/>
  <pageSetup paperSize="9" scale="74" orientation="landscape" r:id="rId1"/>
  <headerFooter alignWithMargins="0">
    <oddFooter>&amp;C4</oddFooter>
  </headerFooter>
  <ignoredErrors>
    <ignoredError sqref="X24 X15:X16 X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view="pageBreakPreview" zoomScale="90" zoomScaleNormal="100" zoomScaleSheetLayoutView="90" workbookViewId="0">
      <selection activeCell="D54" sqref="D54"/>
    </sheetView>
  </sheetViews>
  <sheetFormatPr defaultRowHeight="18" x14ac:dyDescent="0.4"/>
  <cols>
    <col min="1" max="1" width="39.28515625" style="7" customWidth="1"/>
    <col min="2" max="2" width="4.85546875" style="7" customWidth="1"/>
    <col min="3" max="3" width="1.42578125" style="7" customWidth="1"/>
    <col min="4" max="4" width="15" style="7" customWidth="1"/>
    <col min="5" max="5" width="1.42578125" style="7" customWidth="1"/>
    <col min="6" max="6" width="15.5703125" style="7" customWidth="1"/>
    <col min="7" max="7" width="1.28515625" style="7" customWidth="1"/>
    <col min="8" max="8" width="15.5703125" style="7" customWidth="1"/>
    <col min="9" max="9" width="1.42578125" style="7" customWidth="1"/>
    <col min="10" max="10" width="11.85546875" style="7" customWidth="1"/>
    <col min="11" max="11" width="1.42578125" style="7" customWidth="1"/>
    <col min="12" max="12" width="14.5703125" style="7" customWidth="1"/>
    <col min="13" max="13" width="1.42578125" style="7" customWidth="1"/>
    <col min="14" max="14" width="14.5703125" style="7" customWidth="1"/>
    <col min="15" max="15" width="1.140625" style="7" customWidth="1"/>
    <col min="16" max="16" width="20" style="7" bestFit="1" customWidth="1"/>
    <col min="17" max="17" width="1.42578125" style="7" customWidth="1"/>
    <col min="18" max="18" width="16.42578125" style="7" customWidth="1"/>
    <col min="19" max="19" width="10.5703125" style="7" bestFit="1" customWidth="1"/>
    <col min="20" max="16384" width="9.140625" style="7"/>
  </cols>
  <sheetData>
    <row r="1" spans="1:19" ht="21.75" customHeight="1" x14ac:dyDescent="0.4">
      <c r="A1" s="7" t="s">
        <v>205</v>
      </c>
      <c r="P1" s="221" t="s">
        <v>246</v>
      </c>
      <c r="Q1" s="221"/>
      <c r="R1" s="221"/>
    </row>
    <row r="2" spans="1:19" ht="6.75" customHeight="1" x14ac:dyDescent="0.4">
      <c r="R2" s="209"/>
    </row>
    <row r="3" spans="1:19" x14ac:dyDescent="0.4">
      <c r="A3" s="215" t="str">
        <f>'Changed-Conso'!A2</f>
        <v>THE BROOKER GROUP PUBLIC COMPANY LIMITED AND ITS SUBSIDIARIES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</row>
    <row r="4" spans="1:19" x14ac:dyDescent="0.4">
      <c r="A4" s="222" t="str">
        <f>'Changed-Conso'!A3</f>
        <v>STATEMENTS OF CHANGES IN SHAREHOLDERS' EQUITY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</row>
    <row r="5" spans="1:19" x14ac:dyDescent="0.4">
      <c r="A5" s="222" t="s">
        <v>214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</row>
    <row r="6" spans="1:19" x14ac:dyDescent="0.4">
      <c r="A6" s="222" t="s">
        <v>372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</row>
    <row r="7" spans="1:19" x14ac:dyDescent="0.4">
      <c r="D7" s="225" t="s">
        <v>223</v>
      </c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</row>
    <row r="8" spans="1:19" x14ac:dyDescent="0.4">
      <c r="D8" s="209"/>
      <c r="E8" s="12"/>
      <c r="F8" s="209"/>
      <c r="G8" s="12"/>
      <c r="H8" s="12"/>
      <c r="I8" s="12"/>
      <c r="J8" s="33" t="s">
        <v>326</v>
      </c>
      <c r="K8" s="12"/>
      <c r="L8" s="223" t="s">
        <v>228</v>
      </c>
      <c r="M8" s="223"/>
      <c r="N8" s="223"/>
      <c r="P8" s="35" t="s">
        <v>302</v>
      </c>
      <c r="Q8" s="35"/>
    </row>
    <row r="9" spans="1:19" x14ac:dyDescent="0.4">
      <c r="D9" s="209" t="s">
        <v>208</v>
      </c>
      <c r="E9" s="12"/>
      <c r="F9" s="209"/>
      <c r="G9" s="12"/>
      <c r="H9" s="12"/>
      <c r="I9" s="33"/>
      <c r="J9" s="33" t="s">
        <v>327</v>
      </c>
      <c r="K9" s="12"/>
      <c r="L9" s="209"/>
      <c r="M9" s="44"/>
      <c r="N9" s="205"/>
      <c r="O9" s="205"/>
      <c r="P9" s="211" t="s">
        <v>249</v>
      </c>
      <c r="Q9" s="205"/>
    </row>
    <row r="10" spans="1:19" x14ac:dyDescent="0.4">
      <c r="D10" s="209" t="s">
        <v>172</v>
      </c>
      <c r="E10" s="36"/>
      <c r="F10" s="209"/>
      <c r="G10" s="36"/>
      <c r="H10" s="209" t="s">
        <v>175</v>
      </c>
      <c r="I10" s="33"/>
      <c r="J10" s="209" t="s">
        <v>324</v>
      </c>
      <c r="K10" s="12"/>
      <c r="L10" s="209" t="s">
        <v>180</v>
      </c>
      <c r="M10" s="44"/>
      <c r="N10" s="205"/>
      <c r="O10" s="205"/>
      <c r="P10" s="37" t="s">
        <v>303</v>
      </c>
      <c r="Q10" s="205"/>
    </row>
    <row r="11" spans="1:19" x14ac:dyDescent="0.4">
      <c r="B11" s="146" t="s">
        <v>230</v>
      </c>
      <c r="D11" s="206" t="s">
        <v>173</v>
      </c>
      <c r="E11" s="38"/>
      <c r="F11" s="146" t="s">
        <v>268</v>
      </c>
      <c r="G11" s="38"/>
      <c r="H11" s="206" t="s">
        <v>174</v>
      </c>
      <c r="I11" s="37"/>
      <c r="J11" s="206" t="s">
        <v>325</v>
      </c>
      <c r="K11" s="12"/>
      <c r="L11" s="206" t="s">
        <v>181</v>
      </c>
      <c r="M11" s="44"/>
      <c r="N11" s="206" t="s">
        <v>159</v>
      </c>
      <c r="O11" s="6"/>
      <c r="P11" s="211" t="s">
        <v>301</v>
      </c>
      <c r="Q11" s="35"/>
      <c r="R11" s="206" t="s">
        <v>182</v>
      </c>
    </row>
    <row r="12" spans="1:19" x14ac:dyDescent="0.4">
      <c r="C12" s="37"/>
      <c r="D12" s="17"/>
      <c r="E12" s="17"/>
      <c r="F12" s="143"/>
      <c r="G12" s="17"/>
      <c r="H12" s="17"/>
      <c r="I12" s="17"/>
      <c r="J12" s="17"/>
      <c r="K12" s="17"/>
      <c r="L12" s="35"/>
      <c r="M12" s="37"/>
      <c r="N12" s="35"/>
      <c r="O12" s="35"/>
      <c r="P12" s="35"/>
      <c r="Q12" s="38"/>
      <c r="R12" s="35"/>
    </row>
    <row r="13" spans="1:19" x14ac:dyDescent="0.4">
      <c r="A13" s="18" t="s">
        <v>318</v>
      </c>
      <c r="B13" s="39"/>
      <c r="C13" s="39"/>
      <c r="D13" s="199">
        <v>594358093.13</v>
      </c>
      <c r="E13" s="199"/>
      <c r="F13" s="199">
        <v>8720308.75</v>
      </c>
      <c r="G13" s="199"/>
      <c r="H13" s="199">
        <v>62902418.289999999</v>
      </c>
      <c r="I13" s="199"/>
      <c r="J13" s="199">
        <v>73790.080000000002</v>
      </c>
      <c r="K13" s="199"/>
      <c r="L13" s="199">
        <v>53308170.049999997</v>
      </c>
      <c r="M13" s="199"/>
      <c r="N13" s="199">
        <v>342402646.00999999</v>
      </c>
      <c r="O13" s="199"/>
      <c r="P13" s="199">
        <v>0</v>
      </c>
      <c r="Q13" s="199"/>
      <c r="R13" s="199">
        <f>SUM(D13:P13)</f>
        <v>1061765426.3099999</v>
      </c>
      <c r="S13" s="12"/>
    </row>
    <row r="14" spans="1:19" x14ac:dyDescent="0.4">
      <c r="A14" s="17" t="s">
        <v>305</v>
      </c>
      <c r="B14" s="39"/>
      <c r="C14" s="3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2"/>
    </row>
    <row r="15" spans="1:19" x14ac:dyDescent="0.4">
      <c r="A15" s="18" t="s">
        <v>300</v>
      </c>
      <c r="B15" s="27"/>
      <c r="C15" s="39"/>
      <c r="D15" s="199">
        <v>110342515.12</v>
      </c>
      <c r="E15" s="199"/>
      <c r="F15" s="199">
        <v>-8720308.75</v>
      </c>
      <c r="G15" s="199"/>
      <c r="H15" s="199">
        <v>81987738.819999993</v>
      </c>
      <c r="I15" s="199"/>
      <c r="J15" s="199">
        <v>-73790.080000000002</v>
      </c>
      <c r="K15" s="199"/>
      <c r="L15" s="199">
        <v>0</v>
      </c>
      <c r="M15" s="199"/>
      <c r="N15" s="199">
        <v>0</v>
      </c>
      <c r="O15" s="199"/>
      <c r="P15" s="199">
        <v>0</v>
      </c>
      <c r="Q15" s="199"/>
      <c r="R15" s="199">
        <f>SUM(D15:P15)</f>
        <v>183536155.10999998</v>
      </c>
    </row>
    <row r="16" spans="1:19" hidden="1" x14ac:dyDescent="0.4">
      <c r="A16" s="17" t="s">
        <v>323</v>
      </c>
      <c r="B16" s="27"/>
      <c r="C16" s="39"/>
      <c r="D16" s="199">
        <v>0</v>
      </c>
      <c r="E16" s="199"/>
      <c r="F16" s="199">
        <v>0</v>
      </c>
      <c r="G16" s="199"/>
      <c r="H16" s="199">
        <v>0</v>
      </c>
      <c r="I16" s="199"/>
      <c r="J16" s="199">
        <v>0</v>
      </c>
      <c r="K16" s="199"/>
      <c r="L16" s="199">
        <v>0</v>
      </c>
      <c r="M16" s="199"/>
      <c r="N16" s="199">
        <v>0</v>
      </c>
      <c r="O16" s="199"/>
      <c r="P16" s="199">
        <v>0</v>
      </c>
      <c r="Q16" s="199"/>
      <c r="R16" s="199">
        <f>SUM(D16:P16)</f>
        <v>0</v>
      </c>
    </row>
    <row r="17" spans="1:19" x14ac:dyDescent="0.4">
      <c r="A17" s="187" t="s">
        <v>332</v>
      </c>
      <c r="B17" s="33"/>
      <c r="C17" s="12"/>
      <c r="D17" s="198">
        <v>0</v>
      </c>
      <c r="E17" s="198"/>
      <c r="F17" s="198">
        <v>0</v>
      </c>
      <c r="G17" s="198"/>
      <c r="H17" s="198">
        <v>0</v>
      </c>
      <c r="I17" s="198"/>
      <c r="J17" s="199">
        <v>0</v>
      </c>
      <c r="K17" s="198"/>
      <c r="L17" s="198">
        <v>0</v>
      </c>
      <c r="M17" s="198"/>
      <c r="N17" s="198">
        <v>-332356252.88</v>
      </c>
      <c r="O17" s="198"/>
      <c r="P17" s="198">
        <v>0</v>
      </c>
      <c r="Q17" s="198"/>
      <c r="R17" s="199">
        <f>SUM(D17:P17)</f>
        <v>-332356252.88</v>
      </c>
      <c r="S17" s="22"/>
    </row>
    <row r="18" spans="1:19" x14ac:dyDescent="0.4">
      <c r="A18" s="188" t="s">
        <v>308</v>
      </c>
      <c r="B18" s="12"/>
      <c r="C18" s="12"/>
      <c r="D18" s="199">
        <v>0</v>
      </c>
      <c r="E18" s="199"/>
      <c r="F18" s="199">
        <v>0</v>
      </c>
      <c r="G18" s="199"/>
      <c r="H18" s="199">
        <v>0</v>
      </c>
      <c r="I18" s="199"/>
      <c r="J18" s="199">
        <v>0</v>
      </c>
      <c r="K18" s="199"/>
      <c r="L18" s="199">
        <v>0</v>
      </c>
      <c r="M18" s="199"/>
      <c r="N18" s="199">
        <f>+'PL_Q3-60'!L38</f>
        <v>413258661.30000007</v>
      </c>
      <c r="O18" s="199"/>
      <c r="P18" s="199">
        <v>0</v>
      </c>
      <c r="Q18" s="199"/>
      <c r="R18" s="199">
        <f>SUM(D18:P18)</f>
        <v>413258661.30000007</v>
      </c>
    </row>
    <row r="19" spans="1:19" ht="8.25" customHeight="1" x14ac:dyDescent="0.4">
      <c r="D19" s="148"/>
      <c r="E19" s="198"/>
      <c r="F19" s="148"/>
      <c r="G19" s="198"/>
      <c r="H19" s="148"/>
      <c r="I19" s="198"/>
      <c r="J19" s="148"/>
      <c r="K19" s="198"/>
      <c r="L19" s="148"/>
      <c r="M19" s="198"/>
      <c r="N19" s="148"/>
      <c r="O19" s="198"/>
      <c r="P19" s="148"/>
      <c r="Q19" s="198"/>
      <c r="R19" s="148"/>
    </row>
    <row r="20" spans="1:19" ht="18.75" thickBot="1" x14ac:dyDescent="0.45">
      <c r="A20" s="18" t="s">
        <v>373</v>
      </c>
      <c r="D20" s="157">
        <f>SUM(D13:D19)</f>
        <v>704700608.25</v>
      </c>
      <c r="E20" s="198"/>
      <c r="F20" s="157">
        <f>SUM(F13:F19)</f>
        <v>0</v>
      </c>
      <c r="G20" s="198"/>
      <c r="H20" s="157">
        <f>SUM(H13:H19)</f>
        <v>144890157.10999998</v>
      </c>
      <c r="I20" s="199"/>
      <c r="J20" s="157">
        <f>SUM(J13:J19)</f>
        <v>0</v>
      </c>
      <c r="K20" s="198"/>
      <c r="L20" s="157">
        <f>SUM(L13:L19)</f>
        <v>53308170.049999997</v>
      </c>
      <c r="M20" s="198"/>
      <c r="N20" s="157">
        <f>SUM(N13:N19)</f>
        <v>423305054.43000007</v>
      </c>
      <c r="O20" s="199"/>
      <c r="P20" s="157">
        <f>SUM(P13:P19)</f>
        <v>0</v>
      </c>
      <c r="Q20" s="199"/>
      <c r="R20" s="157">
        <f>SUM(R13:R19)</f>
        <v>1326203989.8399999</v>
      </c>
    </row>
    <row r="21" spans="1:19" ht="18.75" thickTop="1" x14ac:dyDescent="0.4"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98"/>
      <c r="Q21" s="147"/>
      <c r="R21" s="147"/>
    </row>
    <row r="22" spans="1:19" x14ac:dyDescent="0.4">
      <c r="A22" s="18" t="s">
        <v>350</v>
      </c>
      <c r="B22" s="39"/>
      <c r="C22" s="39"/>
      <c r="D22" s="199">
        <v>704700608.25</v>
      </c>
      <c r="E22" s="199"/>
      <c r="F22" s="199">
        <v>0</v>
      </c>
      <c r="G22" s="199"/>
      <c r="H22" s="199">
        <v>144890157.11000001</v>
      </c>
      <c r="I22" s="199"/>
      <c r="J22" s="199">
        <v>0</v>
      </c>
      <c r="K22" s="199"/>
      <c r="L22" s="199">
        <v>70591864.099999994</v>
      </c>
      <c r="M22" s="199"/>
      <c r="N22" s="199">
        <v>690823962.70000005</v>
      </c>
      <c r="O22" s="199"/>
      <c r="P22" s="199">
        <v>0</v>
      </c>
      <c r="Q22" s="199"/>
      <c r="R22" s="199">
        <f t="shared" ref="R22:R28" si="0">SUM(D22:P22)</f>
        <v>1611006592.1600001</v>
      </c>
    </row>
    <row r="23" spans="1:19" x14ac:dyDescent="0.4">
      <c r="A23" s="17" t="s">
        <v>305</v>
      </c>
      <c r="B23" s="39"/>
      <c r="C23" s="3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</row>
    <row r="24" spans="1:19" s="12" customFormat="1" x14ac:dyDescent="0.4">
      <c r="A24" s="187" t="s">
        <v>247</v>
      </c>
      <c r="B24" s="27">
        <v>21</v>
      </c>
      <c r="D24" s="198">
        <v>0</v>
      </c>
      <c r="E24" s="198"/>
      <c r="F24" s="198">
        <v>0</v>
      </c>
      <c r="G24" s="198"/>
      <c r="H24" s="198">
        <v>0</v>
      </c>
      <c r="I24" s="198"/>
      <c r="J24" s="199">
        <v>0</v>
      </c>
      <c r="K24" s="198"/>
      <c r="L24" s="198">
        <v>0</v>
      </c>
      <c r="M24" s="198"/>
      <c r="N24" s="198">
        <v>-338256291.95999998</v>
      </c>
      <c r="O24" s="198"/>
      <c r="P24" s="198">
        <v>0</v>
      </c>
      <c r="Q24" s="198"/>
      <c r="R24" s="199">
        <f t="shared" si="0"/>
        <v>-338256291.95999998</v>
      </c>
      <c r="S24" s="22"/>
    </row>
    <row r="25" spans="1:19" s="12" customFormat="1" hidden="1" x14ac:dyDescent="0.4">
      <c r="A25" s="24" t="s">
        <v>285</v>
      </c>
      <c r="B25" s="33"/>
      <c r="D25" s="198">
        <v>0</v>
      </c>
      <c r="E25" s="198"/>
      <c r="F25" s="198">
        <v>0</v>
      </c>
      <c r="G25" s="198"/>
      <c r="H25" s="198">
        <v>0</v>
      </c>
      <c r="I25" s="198"/>
      <c r="J25" s="199"/>
      <c r="K25" s="198"/>
      <c r="L25" s="198">
        <v>0</v>
      </c>
      <c r="M25" s="198"/>
      <c r="N25" s="198">
        <f>-L25</f>
        <v>0</v>
      </c>
      <c r="O25" s="198"/>
      <c r="P25" s="198">
        <v>0</v>
      </c>
      <c r="Q25" s="198"/>
      <c r="R25" s="199">
        <f t="shared" si="0"/>
        <v>0</v>
      </c>
      <c r="S25" s="22"/>
    </row>
    <row r="26" spans="1:19" s="22" customFormat="1" x14ac:dyDescent="0.4">
      <c r="A26" s="189" t="s">
        <v>309</v>
      </c>
      <c r="D26" s="199">
        <v>0</v>
      </c>
      <c r="E26" s="199"/>
      <c r="F26" s="199">
        <v>0</v>
      </c>
      <c r="G26" s="199"/>
      <c r="H26" s="199">
        <v>0</v>
      </c>
      <c r="I26" s="199"/>
      <c r="J26" s="199">
        <v>0</v>
      </c>
      <c r="K26" s="199"/>
      <c r="L26" s="199">
        <v>0</v>
      </c>
      <c r="M26" s="199"/>
      <c r="N26" s="199">
        <f>+'PL_Q3-60'!J38</f>
        <v>41325789.839999974</v>
      </c>
      <c r="O26" s="199"/>
      <c r="P26" s="199">
        <v>-1937579.2</v>
      </c>
      <c r="Q26" s="199"/>
      <c r="R26" s="199">
        <f t="shared" si="0"/>
        <v>39388210.639999971</v>
      </c>
    </row>
    <row r="27" spans="1:19" s="12" customFormat="1" x14ac:dyDescent="0.4">
      <c r="A27" s="40" t="s">
        <v>306</v>
      </c>
      <c r="D27" s="199"/>
      <c r="E27" s="198"/>
      <c r="F27" s="199"/>
      <c r="G27" s="198"/>
      <c r="H27" s="199"/>
      <c r="I27" s="199"/>
      <c r="J27" s="199"/>
      <c r="K27" s="198"/>
      <c r="L27" s="199"/>
      <c r="M27" s="198"/>
      <c r="N27" s="199"/>
      <c r="O27" s="199"/>
      <c r="P27" s="199"/>
      <c r="Q27" s="199"/>
      <c r="R27" s="199"/>
    </row>
    <row r="28" spans="1:19" s="12" customFormat="1" x14ac:dyDescent="0.4">
      <c r="A28" s="7" t="s">
        <v>307</v>
      </c>
      <c r="D28" s="199">
        <v>0</v>
      </c>
      <c r="E28" s="199"/>
      <c r="F28" s="199">
        <v>0</v>
      </c>
      <c r="G28" s="199"/>
      <c r="H28" s="199">
        <v>0</v>
      </c>
      <c r="I28" s="199"/>
      <c r="J28" s="199">
        <v>0</v>
      </c>
      <c r="K28" s="199"/>
      <c r="L28" s="199">
        <v>0</v>
      </c>
      <c r="M28" s="199"/>
      <c r="N28" s="199">
        <f>-P28</f>
        <v>-1937579.2</v>
      </c>
      <c r="O28" s="199"/>
      <c r="P28" s="199">
        <f>-P26</f>
        <v>1937579.2</v>
      </c>
      <c r="Q28" s="199"/>
      <c r="R28" s="199">
        <f t="shared" si="0"/>
        <v>0</v>
      </c>
    </row>
    <row r="29" spans="1:19" ht="7.5" customHeight="1" x14ac:dyDescent="0.4">
      <c r="D29" s="148"/>
      <c r="E29" s="198"/>
      <c r="F29" s="148"/>
      <c r="G29" s="198"/>
      <c r="H29" s="148"/>
      <c r="I29" s="198"/>
      <c r="J29" s="148"/>
      <c r="K29" s="198"/>
      <c r="L29" s="148"/>
      <c r="M29" s="198"/>
      <c r="N29" s="148"/>
      <c r="O29" s="198"/>
      <c r="P29" s="148"/>
      <c r="Q29" s="198"/>
      <c r="R29" s="148"/>
    </row>
    <row r="30" spans="1:19" ht="18.75" thickBot="1" x14ac:dyDescent="0.45">
      <c r="A30" s="18" t="s">
        <v>374</v>
      </c>
      <c r="D30" s="157">
        <f>SUM(D22:D29)</f>
        <v>704700608.25</v>
      </c>
      <c r="E30" s="198"/>
      <c r="F30" s="157">
        <f>SUM(F22:F29)</f>
        <v>0</v>
      </c>
      <c r="G30" s="198"/>
      <c r="H30" s="157">
        <f>SUM(H22:H29)</f>
        <v>144890157.11000001</v>
      </c>
      <c r="I30" s="199"/>
      <c r="J30" s="157">
        <f>SUM(J22:J29)</f>
        <v>0</v>
      </c>
      <c r="K30" s="198"/>
      <c r="L30" s="157">
        <f>SUM(L22:L29)</f>
        <v>70591864.099999994</v>
      </c>
      <c r="M30" s="198"/>
      <c r="N30" s="157">
        <f>SUM(N22:N29)</f>
        <v>391955881.38000005</v>
      </c>
      <c r="O30" s="199"/>
      <c r="P30" s="157">
        <f>SUM(P22:P29)</f>
        <v>0</v>
      </c>
      <c r="Q30" s="199"/>
      <c r="R30" s="157">
        <f>SUM(R22:R29)</f>
        <v>1312138510.8399999</v>
      </c>
    </row>
    <row r="31" spans="1:19" ht="9.75" customHeight="1" thickTop="1" x14ac:dyDescent="0.4"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</row>
    <row r="32" spans="1:19" x14ac:dyDescent="0.4"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</row>
    <row r="33" spans="1:30" x14ac:dyDescent="0.4">
      <c r="A33" s="13" t="s">
        <v>235</v>
      </c>
    </row>
    <row r="34" spans="1:30" x14ac:dyDescent="0.4">
      <c r="A34" s="13"/>
    </row>
    <row r="36" spans="1:30" x14ac:dyDescent="0.4">
      <c r="A36" s="24" t="s">
        <v>149</v>
      </c>
      <c r="C36" s="207"/>
      <c r="D36" s="24"/>
      <c r="E36" s="207"/>
      <c r="F36" s="207"/>
      <c r="G36" s="207"/>
      <c r="H36" s="24" t="s">
        <v>149</v>
      </c>
      <c r="I36" s="24"/>
      <c r="J36" s="24"/>
      <c r="K36" s="207"/>
      <c r="L36" s="207"/>
      <c r="M36" s="207"/>
      <c r="N36" s="207"/>
      <c r="O36" s="207"/>
      <c r="P36" s="207"/>
      <c r="Q36" s="207"/>
      <c r="R36" s="207"/>
      <c r="S36" s="17"/>
      <c r="T36" s="17"/>
      <c r="U36" s="22"/>
      <c r="V36" s="17"/>
      <c r="W36" s="17"/>
      <c r="X36" s="17"/>
      <c r="Y36" s="17"/>
      <c r="Z36" s="17"/>
      <c r="AA36" s="17"/>
      <c r="AB36" s="17"/>
      <c r="AC36" s="17"/>
      <c r="AD36" s="17"/>
    </row>
    <row r="37" spans="1:30" x14ac:dyDescent="0.4">
      <c r="A37" s="24"/>
      <c r="C37" s="207"/>
      <c r="D37" s="24"/>
      <c r="E37" s="207"/>
      <c r="F37" s="207"/>
      <c r="G37" s="207"/>
      <c r="H37" s="24"/>
      <c r="I37" s="24"/>
      <c r="J37" s="24"/>
      <c r="K37" s="207"/>
      <c r="L37" s="207"/>
      <c r="M37" s="207"/>
      <c r="N37" s="207"/>
      <c r="O37" s="207"/>
      <c r="P37" s="207"/>
      <c r="Q37" s="207"/>
      <c r="R37" s="207"/>
      <c r="S37" s="17"/>
      <c r="T37" s="17"/>
      <c r="U37" s="22"/>
      <c r="V37" s="17"/>
      <c r="W37" s="17"/>
      <c r="X37" s="17"/>
      <c r="Y37" s="17"/>
      <c r="Z37" s="17"/>
      <c r="AA37" s="17"/>
      <c r="AB37" s="17"/>
      <c r="AC37" s="17"/>
      <c r="AD37" s="17"/>
    </row>
    <row r="38" spans="1:30" x14ac:dyDescent="0.4">
      <c r="A38" s="25"/>
    </row>
  </sheetData>
  <mergeCells count="7">
    <mergeCell ref="L8:N8"/>
    <mergeCell ref="P1:R1"/>
    <mergeCell ref="D7:R7"/>
    <mergeCell ref="A3:R3"/>
    <mergeCell ref="A4:R4"/>
    <mergeCell ref="A5:R5"/>
    <mergeCell ref="A6:R6"/>
  </mergeCells>
  <phoneticPr fontId="0" type="noConversion"/>
  <printOptions horizontalCentered="1"/>
  <pageMargins left="0.39370078740157499" right="0.196850393700787" top="0.23622047244094499" bottom="0.15748031496063" header="0.31496062992126" footer="0.47244094488188998"/>
  <pageSetup paperSize="9" scale="85" orientation="landscape" r:id="rId1"/>
  <headerFooter alignWithMargins="0">
    <oddFooter>&amp;C5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6"/>
  <sheetViews>
    <sheetView view="pageBreakPreview" zoomScale="90" zoomScaleNormal="120" zoomScaleSheetLayoutView="90" workbookViewId="0">
      <selection activeCell="F87" sqref="F87"/>
    </sheetView>
  </sheetViews>
  <sheetFormatPr defaultRowHeight="16.5" customHeight="1" x14ac:dyDescent="0.4"/>
  <cols>
    <col min="1" max="3" width="2.7109375" style="18" customWidth="1"/>
    <col min="4" max="4" width="40.7109375" style="18" customWidth="1"/>
    <col min="5" max="5" width="5.85546875" style="11" customWidth="1"/>
    <col min="6" max="6" width="1.28515625" style="11" customWidth="1"/>
    <col min="7" max="7" width="13.7109375" style="18" customWidth="1"/>
    <col min="8" max="8" width="0.7109375" style="18" customWidth="1"/>
    <col min="9" max="9" width="13.5703125" style="18" customWidth="1"/>
    <col min="10" max="10" width="0.5703125" style="18" customWidth="1"/>
    <col min="11" max="11" width="13.85546875" style="18" customWidth="1"/>
    <col min="12" max="12" width="0.7109375" style="18" customWidth="1"/>
    <col min="13" max="13" width="13.7109375" style="18" customWidth="1"/>
    <col min="14" max="14" width="12.7109375" style="18" bestFit="1" customWidth="1"/>
    <col min="15" max="15" width="13.28515625" style="18" customWidth="1"/>
    <col min="16" max="16384" width="9.140625" style="18"/>
  </cols>
  <sheetData>
    <row r="1" spans="1:14" ht="16.5" customHeight="1" x14ac:dyDescent="0.4">
      <c r="A1" s="7" t="s">
        <v>205</v>
      </c>
      <c r="M1" s="208" t="s">
        <v>269</v>
      </c>
    </row>
    <row r="2" spans="1:14" ht="16.5" customHeight="1" x14ac:dyDescent="0.4">
      <c r="M2" s="208"/>
    </row>
    <row r="3" spans="1:14" ht="16.5" customHeight="1" x14ac:dyDescent="0.4">
      <c r="A3" s="215" t="s">
        <v>131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14" ht="16.5" customHeight="1" x14ac:dyDescent="0.4">
      <c r="A4" s="222" t="s">
        <v>183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14" ht="16.5" customHeight="1" x14ac:dyDescent="0.4">
      <c r="A5" s="222" t="s">
        <v>372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</row>
    <row r="6" spans="1:14" ht="16.5" customHeight="1" x14ac:dyDescent="0.4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</row>
    <row r="7" spans="1:14" ht="16.5" customHeight="1" x14ac:dyDescent="0.4">
      <c r="A7" s="209"/>
      <c r="B7" s="209"/>
      <c r="C7" s="209"/>
      <c r="D7" s="209"/>
      <c r="E7" s="207"/>
      <c r="F7" s="207"/>
      <c r="G7" s="216" t="s">
        <v>171</v>
      </c>
      <c r="H7" s="216"/>
      <c r="I7" s="216"/>
      <c r="J7" s="216"/>
      <c r="K7" s="216"/>
      <c r="L7" s="216"/>
      <c r="M7" s="216"/>
    </row>
    <row r="8" spans="1:14" ht="16.5" customHeight="1" x14ac:dyDescent="0.4">
      <c r="E8" s="207"/>
      <c r="F8" s="207"/>
      <c r="G8" s="217" t="s">
        <v>211</v>
      </c>
      <c r="H8" s="217"/>
      <c r="I8" s="217"/>
      <c r="J8" s="7"/>
      <c r="K8" s="217" t="s">
        <v>212</v>
      </c>
      <c r="L8" s="217"/>
      <c r="M8" s="217"/>
    </row>
    <row r="9" spans="1:14" ht="16.5" customHeight="1" x14ac:dyDescent="0.4">
      <c r="E9" s="207"/>
      <c r="F9" s="207"/>
      <c r="G9" s="227" t="s">
        <v>369</v>
      </c>
      <c r="H9" s="227"/>
      <c r="I9" s="227"/>
      <c r="J9" s="193"/>
      <c r="K9" s="227" t="s">
        <v>369</v>
      </c>
      <c r="L9" s="227"/>
      <c r="M9" s="227"/>
    </row>
    <row r="10" spans="1:14" ht="16.5" customHeight="1" x14ac:dyDescent="0.4">
      <c r="E10" s="146" t="s">
        <v>230</v>
      </c>
      <c r="F10" s="27"/>
      <c r="G10" s="181">
        <v>2017</v>
      </c>
      <c r="H10" s="207"/>
      <c r="I10" s="181">
        <v>2016</v>
      </c>
      <c r="J10" s="7"/>
      <c r="K10" s="181">
        <v>2017</v>
      </c>
      <c r="L10" s="207"/>
      <c r="M10" s="181">
        <v>2016</v>
      </c>
      <c r="N10" s="28"/>
    </row>
    <row r="11" spans="1:14" ht="16.5" customHeight="1" x14ac:dyDescent="0.4">
      <c r="A11" s="18" t="s">
        <v>184</v>
      </c>
      <c r="B11" s="13"/>
      <c r="C11" s="13"/>
      <c r="D11" s="13"/>
      <c r="E11" s="207"/>
      <c r="F11" s="212"/>
      <c r="G11" s="13"/>
      <c r="H11" s="13"/>
      <c r="I11" s="13"/>
    </row>
    <row r="12" spans="1:14" ht="16.5" customHeight="1" x14ac:dyDescent="0.4">
      <c r="A12" s="13"/>
      <c r="B12" s="18" t="s">
        <v>294</v>
      </c>
      <c r="C12" s="13"/>
      <c r="D12" s="13"/>
      <c r="E12" s="207"/>
      <c r="F12" s="212"/>
      <c r="G12" s="198">
        <f>+'PL_Q3-60'!F35</f>
        <v>350590366.04000002</v>
      </c>
      <c r="H12" s="198"/>
      <c r="I12" s="198">
        <f>+'PL_Q3-60'!H35</f>
        <v>355119738.24000001</v>
      </c>
      <c r="J12" s="198"/>
      <c r="K12" s="198">
        <f>+'PL_Q3-60'!J35</f>
        <v>41325789.839999974</v>
      </c>
      <c r="L12" s="198"/>
      <c r="M12" s="198">
        <f>+'PL_Q3-60'!L35</f>
        <v>413258661.30000007</v>
      </c>
    </row>
    <row r="13" spans="1:14" ht="16.5" customHeight="1" x14ac:dyDescent="0.4">
      <c r="A13" s="13"/>
      <c r="B13" s="18" t="s">
        <v>186</v>
      </c>
      <c r="C13" s="13"/>
      <c r="D13" s="13"/>
      <c r="E13" s="207"/>
      <c r="F13" s="212"/>
      <c r="G13" s="198"/>
      <c r="H13" s="198"/>
      <c r="I13" s="198"/>
      <c r="J13" s="198"/>
      <c r="K13" s="198"/>
      <c r="L13" s="198"/>
      <c r="M13" s="198"/>
    </row>
    <row r="14" spans="1:14" ht="16.5" customHeight="1" x14ac:dyDescent="0.4">
      <c r="A14" s="13"/>
      <c r="C14" s="18" t="s">
        <v>204</v>
      </c>
      <c r="D14" s="13"/>
      <c r="E14" s="212"/>
      <c r="F14" s="212"/>
      <c r="G14" s="198"/>
      <c r="H14" s="198"/>
      <c r="I14" s="198"/>
      <c r="J14" s="198"/>
      <c r="K14" s="198"/>
      <c r="L14" s="198"/>
      <c r="M14" s="198"/>
    </row>
    <row r="15" spans="1:14" ht="16.5" customHeight="1" x14ac:dyDescent="0.4">
      <c r="A15" s="13"/>
      <c r="C15" s="18" t="s">
        <v>185</v>
      </c>
      <c r="D15" s="18" t="s">
        <v>187</v>
      </c>
      <c r="E15" s="21" t="s">
        <v>352</v>
      </c>
      <c r="F15" s="212"/>
      <c r="G15" s="198">
        <v>3015662.18</v>
      </c>
      <c r="H15" s="198"/>
      <c r="I15" s="198">
        <f>2313115.54+12</f>
        <v>2313127.54</v>
      </c>
      <c r="J15" s="198"/>
      <c r="K15" s="198">
        <v>3014347.78</v>
      </c>
      <c r="L15" s="198"/>
      <c r="M15" s="198">
        <f>2297196.17+3</f>
        <v>2297199.17</v>
      </c>
    </row>
    <row r="16" spans="1:14" ht="16.5" customHeight="1" x14ac:dyDescent="0.4">
      <c r="A16" s="13"/>
      <c r="B16" s="13"/>
      <c r="C16" s="13"/>
      <c r="D16" s="13" t="s">
        <v>227</v>
      </c>
      <c r="E16" s="21"/>
      <c r="F16" s="212"/>
      <c r="G16" s="198">
        <v>0</v>
      </c>
      <c r="H16" s="198"/>
      <c r="I16" s="198">
        <v>-24630626</v>
      </c>
      <c r="J16" s="198"/>
      <c r="K16" s="198">
        <v>0</v>
      </c>
      <c r="L16" s="198"/>
      <c r="M16" s="198">
        <v>-24630626</v>
      </c>
    </row>
    <row r="17" spans="1:13" ht="16.5" customHeight="1" x14ac:dyDescent="0.4">
      <c r="A17" s="13"/>
      <c r="B17" s="13"/>
      <c r="C17" s="13"/>
      <c r="D17" s="13" t="s">
        <v>339</v>
      </c>
      <c r="E17" s="21" t="s">
        <v>377</v>
      </c>
      <c r="F17" s="212"/>
      <c r="G17" s="198">
        <v>-25375997.460000001</v>
      </c>
      <c r="H17" s="198"/>
      <c r="I17" s="198">
        <v>1000000</v>
      </c>
      <c r="J17" s="198"/>
      <c r="K17" s="198">
        <v>-46807021.799999997</v>
      </c>
      <c r="L17" s="198"/>
      <c r="M17" s="198">
        <v>2999970</v>
      </c>
    </row>
    <row r="18" spans="1:13" ht="16.5" customHeight="1" x14ac:dyDescent="0.4">
      <c r="A18" s="13"/>
      <c r="B18" s="13"/>
      <c r="C18" s="13"/>
      <c r="D18" s="13" t="s">
        <v>353</v>
      </c>
      <c r="E18" s="21"/>
      <c r="F18" s="212"/>
      <c r="G18" s="198">
        <v>-23639384.309999999</v>
      </c>
      <c r="H18" s="198"/>
      <c r="I18" s="198">
        <v>0</v>
      </c>
      <c r="J18" s="198"/>
      <c r="K18" s="198">
        <v>-23639384.309999999</v>
      </c>
      <c r="L18" s="198"/>
      <c r="M18" s="198">
        <v>0</v>
      </c>
    </row>
    <row r="19" spans="1:13" ht="16.5" customHeight="1" x14ac:dyDescent="0.4">
      <c r="A19" s="13"/>
      <c r="B19" s="13"/>
      <c r="C19" s="13"/>
      <c r="D19" s="17" t="s">
        <v>207</v>
      </c>
      <c r="E19" s="142" t="s">
        <v>279</v>
      </c>
      <c r="F19" s="21"/>
      <c r="G19" s="198">
        <v>-7459136.8399999999</v>
      </c>
      <c r="H19" s="199"/>
      <c r="I19" s="198">
        <v>-156062318.65000001</v>
      </c>
      <c r="J19" s="199"/>
      <c r="K19" s="198">
        <v>28909957.670000002</v>
      </c>
      <c r="L19" s="198"/>
      <c r="M19" s="198">
        <v>-173176751.91</v>
      </c>
    </row>
    <row r="20" spans="1:13" ht="16.5" customHeight="1" x14ac:dyDescent="0.4">
      <c r="A20" s="13"/>
      <c r="B20" s="13"/>
      <c r="C20" s="13"/>
      <c r="D20" s="41" t="s">
        <v>354</v>
      </c>
      <c r="E20" s="207"/>
      <c r="F20" s="21"/>
      <c r="G20" s="198">
        <v>-29818855.609999999</v>
      </c>
      <c r="H20" s="199"/>
      <c r="I20" s="198">
        <v>0</v>
      </c>
      <c r="J20" s="199"/>
      <c r="K20" s="198">
        <v>-29818855.609999999</v>
      </c>
      <c r="L20" s="198"/>
      <c r="M20" s="198">
        <v>0</v>
      </c>
    </row>
    <row r="21" spans="1:13" ht="16.5" customHeight="1" x14ac:dyDescent="0.4">
      <c r="A21" s="13"/>
      <c r="B21" s="13"/>
      <c r="C21" s="13"/>
      <c r="D21" s="41" t="s">
        <v>295</v>
      </c>
      <c r="E21" s="207">
        <v>18</v>
      </c>
      <c r="F21" s="21"/>
      <c r="G21" s="198">
        <v>1749672</v>
      </c>
      <c r="H21" s="199"/>
      <c r="I21" s="198">
        <v>1424595</v>
      </c>
      <c r="J21" s="199"/>
      <c r="K21" s="198">
        <v>1551865</v>
      </c>
      <c r="L21" s="198"/>
      <c r="M21" s="198">
        <v>1174481</v>
      </c>
    </row>
    <row r="22" spans="1:13" ht="16.5" customHeight="1" x14ac:dyDescent="0.4">
      <c r="A22" s="13"/>
      <c r="B22" s="13"/>
      <c r="C22" s="13"/>
      <c r="D22" s="41" t="s">
        <v>296</v>
      </c>
      <c r="E22" s="207">
        <v>20.100000000000001</v>
      </c>
      <c r="F22" s="21"/>
      <c r="G22" s="198">
        <v>2764471.34</v>
      </c>
      <c r="I22" s="18">
        <v>59438300.130000003</v>
      </c>
      <c r="K22" s="12">
        <v>2478932.23</v>
      </c>
      <c r="M22" s="12">
        <v>58793864.719999999</v>
      </c>
    </row>
    <row r="23" spans="1:13" ht="16.5" customHeight="1" x14ac:dyDescent="0.4">
      <c r="A23" s="13"/>
      <c r="B23" s="13"/>
      <c r="C23" s="13"/>
      <c r="D23" s="41" t="s">
        <v>297</v>
      </c>
      <c r="E23" s="207">
        <v>20.100000000000001</v>
      </c>
      <c r="F23" s="21"/>
      <c r="G23" s="199">
        <v>18029266.84</v>
      </c>
      <c r="H23" s="199"/>
      <c r="I23" s="199">
        <v>37939130.399999999</v>
      </c>
      <c r="J23" s="199"/>
      <c r="K23" s="199">
        <v>18068828.239999998</v>
      </c>
      <c r="L23" s="199"/>
      <c r="M23" s="199">
        <v>36349603.880000003</v>
      </c>
    </row>
    <row r="24" spans="1:13" ht="16.5" customHeight="1" x14ac:dyDescent="0.4">
      <c r="A24" s="13"/>
      <c r="B24" s="13"/>
      <c r="C24" s="13"/>
      <c r="D24" s="41" t="s">
        <v>221</v>
      </c>
      <c r="E24" s="21"/>
      <c r="F24" s="21"/>
      <c r="G24" s="148">
        <v>1548437.47</v>
      </c>
      <c r="H24" s="198"/>
      <c r="I24" s="148">
        <v>0</v>
      </c>
      <c r="J24" s="198"/>
      <c r="K24" s="148">
        <v>6349021.7800000003</v>
      </c>
      <c r="L24" s="198"/>
      <c r="M24" s="148">
        <v>3918356.85</v>
      </c>
    </row>
    <row r="25" spans="1:13" ht="16.5" customHeight="1" x14ac:dyDescent="0.4">
      <c r="A25" s="13"/>
      <c r="B25" s="13" t="s">
        <v>266</v>
      </c>
      <c r="C25" s="13"/>
      <c r="D25" s="13"/>
      <c r="E25" s="21"/>
      <c r="F25" s="21"/>
      <c r="G25" s="198">
        <f>+SUM(G12:G24)</f>
        <v>291404501.65000004</v>
      </c>
      <c r="H25" s="199"/>
      <c r="I25" s="198">
        <f>+SUM(I12:I24)</f>
        <v>276541946.66000003</v>
      </c>
      <c r="J25" s="199"/>
      <c r="K25" s="198">
        <f>+SUM(K12:K24)</f>
        <v>1433480.8199999807</v>
      </c>
      <c r="L25" s="199"/>
      <c r="M25" s="198">
        <f>+SUM(M12:M24)</f>
        <v>320984759.01000011</v>
      </c>
    </row>
    <row r="26" spans="1:13" ht="16.5" customHeight="1" x14ac:dyDescent="0.4">
      <c r="A26" s="13"/>
      <c r="B26" s="190" t="s">
        <v>188</v>
      </c>
      <c r="C26" s="13"/>
      <c r="D26" s="13"/>
      <c r="E26" s="21"/>
      <c r="F26" s="21"/>
      <c r="G26" s="198"/>
      <c r="H26" s="199"/>
      <c r="I26" s="198"/>
      <c r="J26" s="199"/>
      <c r="K26" s="198"/>
      <c r="L26" s="199"/>
      <c r="M26" s="198"/>
    </row>
    <row r="27" spans="1:13" ht="16.5" customHeight="1" x14ac:dyDescent="0.4">
      <c r="A27" s="13"/>
      <c r="B27" s="13"/>
      <c r="C27" s="139" t="s">
        <v>270</v>
      </c>
      <c r="D27" s="13"/>
      <c r="E27" s="31">
        <v>4.3</v>
      </c>
      <c r="F27" s="212"/>
      <c r="G27" s="198">
        <v>-202911483.75999999</v>
      </c>
      <c r="H27" s="198"/>
      <c r="I27" s="198">
        <v>15736054.85</v>
      </c>
      <c r="J27" s="198"/>
      <c r="K27" s="198">
        <v>-247499843.36000001</v>
      </c>
      <c r="L27" s="198"/>
      <c r="M27" s="198">
        <v>9365989</v>
      </c>
    </row>
    <row r="28" spans="1:13" ht="16.5" customHeight="1" x14ac:dyDescent="0.4">
      <c r="A28" s="13"/>
      <c r="B28" s="13"/>
      <c r="C28" s="13" t="s">
        <v>256</v>
      </c>
      <c r="D28" s="13"/>
      <c r="E28" s="212">
        <v>5</v>
      </c>
      <c r="F28" s="212"/>
      <c r="G28" s="198">
        <v>-330080892.80000001</v>
      </c>
      <c r="H28" s="198"/>
      <c r="I28" s="198">
        <v>-195275000</v>
      </c>
      <c r="J28" s="198"/>
      <c r="K28" s="198">
        <v>-8132000</v>
      </c>
      <c r="L28" s="198"/>
      <c r="M28" s="198">
        <v>-216675000</v>
      </c>
    </row>
    <row r="29" spans="1:13" ht="16.5" customHeight="1" x14ac:dyDescent="0.4">
      <c r="A29" s="13"/>
      <c r="B29" s="13"/>
      <c r="C29" s="13" t="s">
        <v>255</v>
      </c>
      <c r="D29" s="13"/>
      <c r="E29" s="31">
        <v>2.2000000000000002</v>
      </c>
      <c r="F29" s="212"/>
      <c r="G29" s="198">
        <v>221816.58</v>
      </c>
      <c r="H29" s="198"/>
      <c r="I29" s="198">
        <v>75144764.180000007</v>
      </c>
      <c r="J29" s="198"/>
      <c r="K29" s="198">
        <v>3431673.2</v>
      </c>
      <c r="L29" s="198"/>
      <c r="M29" s="198">
        <v>-1025183.13</v>
      </c>
    </row>
    <row r="30" spans="1:13" ht="16.5" customHeight="1" x14ac:dyDescent="0.4">
      <c r="A30" s="13"/>
      <c r="B30" s="13"/>
      <c r="C30" s="13" t="s">
        <v>277</v>
      </c>
      <c r="D30" s="13"/>
      <c r="E30" s="212">
        <v>6</v>
      </c>
      <c r="F30" s="212"/>
      <c r="G30" s="198">
        <v>1386370.43</v>
      </c>
      <c r="H30" s="198"/>
      <c r="I30" s="198">
        <v>151880.29</v>
      </c>
      <c r="J30" s="198"/>
      <c r="K30" s="198">
        <v>1149527.45</v>
      </c>
      <c r="L30" s="198"/>
      <c r="M30" s="198">
        <v>-135522.78</v>
      </c>
    </row>
    <row r="31" spans="1:13" ht="16.5" customHeight="1" x14ac:dyDescent="0.4">
      <c r="A31" s="13"/>
      <c r="B31" s="13"/>
      <c r="C31" s="13" t="s">
        <v>276</v>
      </c>
      <c r="D31" s="13"/>
      <c r="E31" s="31">
        <v>2.2999999999999998</v>
      </c>
      <c r="F31" s="212"/>
      <c r="G31" s="198">
        <v>-13466468.15</v>
      </c>
      <c r="H31" s="198"/>
      <c r="I31" s="198">
        <v>-1481608.95</v>
      </c>
      <c r="J31" s="198"/>
      <c r="K31" s="198">
        <v>2980484.56</v>
      </c>
      <c r="L31" s="198"/>
      <c r="M31" s="198">
        <v>-3526776.11</v>
      </c>
    </row>
    <row r="32" spans="1:13" ht="16.5" customHeight="1" x14ac:dyDescent="0.4">
      <c r="A32" s="13"/>
      <c r="B32" s="13"/>
      <c r="C32" s="13" t="s">
        <v>191</v>
      </c>
      <c r="D32" s="13"/>
      <c r="E32" s="212"/>
      <c r="F32" s="212"/>
      <c r="G32" s="198">
        <v>-2176865.79</v>
      </c>
      <c r="H32" s="198"/>
      <c r="I32" s="198">
        <v>6839543.6500000004</v>
      </c>
      <c r="J32" s="198"/>
      <c r="K32" s="198">
        <v>-2461600.79</v>
      </c>
      <c r="L32" s="198"/>
      <c r="M32" s="198">
        <v>1390463.55</v>
      </c>
    </row>
    <row r="33" spans="1:13" ht="16.5" customHeight="1" x14ac:dyDescent="0.4">
      <c r="A33" s="13"/>
      <c r="B33" s="13"/>
      <c r="C33" s="13" t="s">
        <v>144</v>
      </c>
      <c r="D33" s="13"/>
      <c r="E33" s="212"/>
      <c r="F33" s="212"/>
      <c r="G33" s="198">
        <v>2953681.78</v>
      </c>
      <c r="H33" s="198"/>
      <c r="I33" s="198">
        <v>2032473.87</v>
      </c>
      <c r="J33" s="198"/>
      <c r="K33" s="198">
        <v>2737683.27</v>
      </c>
      <c r="L33" s="198"/>
      <c r="M33" s="198">
        <v>2033837.98</v>
      </c>
    </row>
    <row r="34" spans="1:13" ht="16.5" customHeight="1" x14ac:dyDescent="0.4">
      <c r="A34" s="13"/>
      <c r="B34" s="13" t="s">
        <v>192</v>
      </c>
      <c r="C34" s="13"/>
      <c r="D34" s="13"/>
      <c r="E34" s="212"/>
      <c r="F34" s="212"/>
      <c r="G34" s="198"/>
      <c r="H34" s="198"/>
      <c r="I34" s="198"/>
      <c r="J34" s="198"/>
      <c r="K34" s="198"/>
      <c r="L34" s="198"/>
      <c r="M34" s="198"/>
    </row>
    <row r="35" spans="1:13" ht="16.5" customHeight="1" x14ac:dyDescent="0.4">
      <c r="A35" s="13"/>
      <c r="B35" s="13"/>
      <c r="C35" s="13" t="s">
        <v>355</v>
      </c>
      <c r="D35" s="13"/>
      <c r="E35" s="212">
        <v>14</v>
      </c>
      <c r="F35" s="212"/>
      <c r="G35" s="198">
        <v>99694536</v>
      </c>
      <c r="H35" s="198"/>
      <c r="I35" s="198">
        <v>0</v>
      </c>
      <c r="J35" s="198"/>
      <c r="K35" s="198">
        <v>107000</v>
      </c>
      <c r="L35" s="198"/>
      <c r="M35" s="198">
        <v>0</v>
      </c>
    </row>
    <row r="36" spans="1:13" ht="16.5" customHeight="1" x14ac:dyDescent="0.4">
      <c r="A36" s="13"/>
      <c r="B36" s="13"/>
      <c r="C36" s="13" t="s">
        <v>257</v>
      </c>
      <c r="D36" s="13"/>
      <c r="E36" s="31">
        <v>2.5</v>
      </c>
      <c r="F36" s="212"/>
      <c r="G36" s="198">
        <v>460510.57</v>
      </c>
      <c r="H36" s="198"/>
      <c r="I36" s="198">
        <v>-122024.97</v>
      </c>
      <c r="J36" s="198"/>
      <c r="K36" s="198">
        <v>-13503400</v>
      </c>
      <c r="L36" s="198"/>
      <c r="M36" s="198">
        <v>0</v>
      </c>
    </row>
    <row r="37" spans="1:13" ht="16.5" customHeight="1" x14ac:dyDescent="0.4">
      <c r="A37" s="13"/>
      <c r="B37" s="13"/>
      <c r="C37" s="13" t="s">
        <v>280</v>
      </c>
      <c r="D37" s="13"/>
      <c r="E37" s="212">
        <v>15</v>
      </c>
      <c r="F37" s="212"/>
      <c r="G37" s="198">
        <v>-21753416.25</v>
      </c>
      <c r="H37" s="198"/>
      <c r="I37" s="198">
        <v>-9711242.0700000003</v>
      </c>
      <c r="J37" s="198"/>
      <c r="K37" s="198">
        <v>-8962288.4000000004</v>
      </c>
      <c r="L37" s="198"/>
      <c r="M37" s="198">
        <v>13062092.85</v>
      </c>
    </row>
    <row r="38" spans="1:13" ht="16.5" customHeight="1" x14ac:dyDescent="0.4">
      <c r="A38" s="13"/>
      <c r="B38" s="13"/>
      <c r="C38" s="13" t="s">
        <v>298</v>
      </c>
      <c r="D38" s="13"/>
      <c r="E38" s="31">
        <v>2.6</v>
      </c>
      <c r="F38" s="212"/>
      <c r="G38" s="198">
        <v>0</v>
      </c>
      <c r="H38" s="198"/>
      <c r="I38" s="198">
        <v>0</v>
      </c>
      <c r="J38" s="198"/>
      <c r="K38" s="198">
        <v>99422.56</v>
      </c>
      <c r="L38" s="198"/>
      <c r="M38" s="198">
        <v>-756836.04</v>
      </c>
    </row>
    <row r="39" spans="1:13" ht="16.5" customHeight="1" x14ac:dyDescent="0.4">
      <c r="A39" s="13"/>
      <c r="B39" s="13"/>
      <c r="C39" s="13" t="s">
        <v>152</v>
      </c>
      <c r="D39" s="13"/>
      <c r="E39" s="31"/>
      <c r="F39" s="212"/>
      <c r="G39" s="198">
        <v>10362051.6</v>
      </c>
      <c r="H39" s="198"/>
      <c r="I39" s="198">
        <f>18691916.84-I40</f>
        <v>18691916.84</v>
      </c>
      <c r="J39" s="198"/>
      <c r="K39" s="198">
        <v>11166890.699999999</v>
      </c>
      <c r="L39" s="198"/>
      <c r="M39" s="198">
        <f>20135715.3-M40</f>
        <v>20135715.300000001</v>
      </c>
    </row>
    <row r="40" spans="1:13" ht="16.5" customHeight="1" x14ac:dyDescent="0.4">
      <c r="A40" s="13"/>
      <c r="B40" s="13"/>
      <c r="C40" s="13" t="s">
        <v>356</v>
      </c>
      <c r="D40" s="13"/>
      <c r="E40" s="212"/>
      <c r="F40" s="212"/>
      <c r="G40" s="198">
        <v>-7398744.9400000004</v>
      </c>
      <c r="H40" s="198"/>
      <c r="I40" s="198">
        <v>0</v>
      </c>
      <c r="J40" s="198"/>
      <c r="K40" s="198">
        <v>-7596551.9400000004</v>
      </c>
      <c r="L40" s="198"/>
      <c r="M40" s="198">
        <v>0</v>
      </c>
    </row>
    <row r="41" spans="1:13" ht="16.5" customHeight="1" x14ac:dyDescent="0.4">
      <c r="A41" s="13"/>
      <c r="B41" s="13"/>
      <c r="C41" s="13"/>
      <c r="D41" s="13" t="s">
        <v>281</v>
      </c>
      <c r="E41" s="212"/>
      <c r="F41" s="212"/>
      <c r="G41" s="150">
        <f>SUM(G25:G40)</f>
        <v>-171304403.07999995</v>
      </c>
      <c r="H41" s="199"/>
      <c r="I41" s="150">
        <f>SUM(I25:I40)</f>
        <v>188548704.35000008</v>
      </c>
      <c r="J41" s="199"/>
      <c r="K41" s="150">
        <f>SUM(K25:K40)</f>
        <v>-265049521.93000001</v>
      </c>
      <c r="L41" s="199"/>
      <c r="M41" s="150">
        <f>SUM(M25:M40)</f>
        <v>144853539.63000011</v>
      </c>
    </row>
    <row r="42" spans="1:13" ht="16.5" customHeight="1" x14ac:dyDescent="0.4">
      <c r="A42" s="13"/>
      <c r="B42" s="13"/>
      <c r="C42" s="13"/>
      <c r="D42" s="13" t="s">
        <v>258</v>
      </c>
      <c r="E42" s="212"/>
      <c r="F42" s="212"/>
      <c r="G42" s="199">
        <v>-1548437.47</v>
      </c>
      <c r="H42" s="199"/>
      <c r="I42" s="199">
        <v>0</v>
      </c>
      <c r="J42" s="199"/>
      <c r="K42" s="199">
        <v>-6349021.7800000003</v>
      </c>
      <c r="L42" s="199"/>
      <c r="M42" s="199">
        <v>-3918356.85</v>
      </c>
    </row>
    <row r="43" spans="1:13" ht="16.5" customHeight="1" x14ac:dyDescent="0.4">
      <c r="A43" s="13"/>
      <c r="B43" s="13"/>
      <c r="C43" s="13"/>
      <c r="D43" s="13" t="s">
        <v>210</v>
      </c>
      <c r="E43" s="212"/>
      <c r="F43" s="212"/>
      <c r="G43" s="199">
        <v>-127655020.25</v>
      </c>
      <c r="H43" s="199"/>
      <c r="I43" s="199">
        <v>-3113828.25</v>
      </c>
      <c r="J43" s="199"/>
      <c r="K43" s="199">
        <v>-125844848.94</v>
      </c>
      <c r="L43" s="199"/>
      <c r="M43" s="199">
        <v>-2412553.3199999998</v>
      </c>
    </row>
    <row r="44" spans="1:13" ht="16.5" customHeight="1" x14ac:dyDescent="0.4">
      <c r="A44" s="13"/>
      <c r="B44" s="13"/>
      <c r="C44" s="13"/>
      <c r="D44" s="13" t="s">
        <v>203</v>
      </c>
      <c r="E44" s="212"/>
      <c r="F44" s="212"/>
      <c r="G44" s="151">
        <f>SUM(G41:G43)</f>
        <v>-300507860.79999995</v>
      </c>
      <c r="H44" s="199"/>
      <c r="I44" s="151">
        <f>SUM(I41:I43)</f>
        <v>185434876.10000008</v>
      </c>
      <c r="J44" s="199"/>
      <c r="K44" s="151">
        <f>SUM(K41:K43)</f>
        <v>-397243392.64999998</v>
      </c>
      <c r="L44" s="199"/>
      <c r="M44" s="151">
        <f>SUM(M41:M43)</f>
        <v>138522629.46000013</v>
      </c>
    </row>
    <row r="45" spans="1:13" ht="16.5" customHeight="1" x14ac:dyDescent="0.4">
      <c r="A45" s="13"/>
      <c r="B45" s="13"/>
      <c r="C45" s="13"/>
      <c r="D45" s="13"/>
      <c r="E45" s="212"/>
      <c r="F45" s="212"/>
      <c r="G45" s="199"/>
      <c r="H45" s="199"/>
      <c r="I45" s="199"/>
      <c r="J45" s="199"/>
      <c r="K45" s="199"/>
      <c r="L45" s="199"/>
      <c r="M45" s="199"/>
    </row>
    <row r="46" spans="1:13" ht="16.5" customHeight="1" x14ac:dyDescent="0.4">
      <c r="A46" s="13" t="s">
        <v>235</v>
      </c>
      <c r="B46" s="13"/>
      <c r="C46" s="13"/>
      <c r="D46" s="13"/>
      <c r="E46" s="212"/>
      <c r="F46" s="212"/>
      <c r="G46" s="22"/>
      <c r="H46" s="22"/>
      <c r="I46" s="22"/>
      <c r="J46" s="22"/>
      <c r="K46" s="22"/>
      <c r="L46" s="22"/>
      <c r="M46" s="22"/>
    </row>
    <row r="47" spans="1:13" ht="16.5" customHeight="1" x14ac:dyDescent="0.4">
      <c r="A47" s="13"/>
      <c r="B47" s="13"/>
      <c r="C47" s="13"/>
      <c r="D47" s="13"/>
      <c r="E47" s="212"/>
      <c r="F47" s="212"/>
      <c r="G47" s="22"/>
      <c r="H47" s="22"/>
      <c r="I47" s="22"/>
      <c r="J47" s="22"/>
      <c r="K47" s="22"/>
      <c r="L47" s="22"/>
      <c r="M47" s="22"/>
    </row>
    <row r="48" spans="1:13" ht="16.5" customHeight="1" x14ac:dyDescent="0.4">
      <c r="A48" s="13"/>
      <c r="B48" s="13"/>
      <c r="C48" s="13"/>
      <c r="D48" s="13"/>
      <c r="E48" s="212"/>
      <c r="F48" s="212"/>
      <c r="G48" s="22"/>
      <c r="H48" s="22"/>
      <c r="I48" s="22"/>
      <c r="J48" s="22"/>
      <c r="K48" s="22"/>
      <c r="L48" s="22"/>
      <c r="M48" s="22"/>
    </row>
    <row r="49" spans="1:13" ht="16.5" customHeight="1" x14ac:dyDescent="0.4">
      <c r="A49" s="13"/>
      <c r="B49" s="13"/>
      <c r="C49" s="13"/>
      <c r="D49" s="13"/>
      <c r="E49" s="212"/>
      <c r="F49" s="212"/>
      <c r="G49" s="22"/>
      <c r="H49" s="22"/>
      <c r="I49" s="22"/>
      <c r="J49" s="22"/>
      <c r="K49" s="22"/>
      <c r="L49" s="22"/>
      <c r="M49" s="22"/>
    </row>
    <row r="50" spans="1:13" ht="16.5" customHeight="1" x14ac:dyDescent="0.4">
      <c r="A50" s="13"/>
    </row>
    <row r="51" spans="1:13" ht="16.5" customHeight="1" x14ac:dyDescent="0.4">
      <c r="A51" s="13"/>
    </row>
    <row r="52" spans="1:13" ht="16.5" customHeight="1" x14ac:dyDescent="0.4">
      <c r="A52" s="13"/>
    </row>
    <row r="53" spans="1:13" ht="16.5" customHeight="1" x14ac:dyDescent="0.4">
      <c r="A53" s="207"/>
      <c r="B53" s="24" t="s">
        <v>149</v>
      </c>
      <c r="C53" s="207"/>
      <c r="D53" s="24"/>
      <c r="E53" s="207"/>
      <c r="F53" s="24" t="s">
        <v>149</v>
      </c>
      <c r="G53" s="207"/>
      <c r="H53" s="207"/>
      <c r="I53" s="207"/>
      <c r="J53" s="207"/>
      <c r="K53" s="207"/>
      <c r="L53" s="207"/>
      <c r="M53" s="207"/>
    </row>
    <row r="54" spans="1:13" ht="16.5" customHeight="1" x14ac:dyDescent="0.4">
      <c r="A54" s="207"/>
      <c r="B54" s="24"/>
      <c r="C54" s="207"/>
      <c r="D54" s="24"/>
      <c r="E54" s="207"/>
      <c r="F54" s="24"/>
      <c r="G54" s="207"/>
      <c r="H54" s="207"/>
      <c r="I54" s="207"/>
      <c r="J54" s="207"/>
      <c r="K54" s="207"/>
      <c r="L54" s="207"/>
      <c r="M54" s="207"/>
    </row>
    <row r="55" spans="1:13" ht="16.5" customHeight="1" x14ac:dyDescent="0.4">
      <c r="A55" s="226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</row>
    <row r="56" spans="1:13" ht="16.5" customHeight="1" x14ac:dyDescent="0.4">
      <c r="A56" s="18" t="s">
        <v>189</v>
      </c>
      <c r="B56" s="13"/>
      <c r="C56" s="13"/>
      <c r="D56" s="13"/>
      <c r="E56" s="212"/>
      <c r="F56" s="212"/>
      <c r="G56" s="12"/>
      <c r="H56" s="22"/>
      <c r="I56" s="12"/>
      <c r="J56" s="22"/>
      <c r="K56" s="12"/>
      <c r="L56" s="22"/>
      <c r="M56" s="12"/>
    </row>
    <row r="57" spans="1:13" ht="16.5" customHeight="1" x14ac:dyDescent="0.4">
      <c r="C57" s="18" t="s">
        <v>383</v>
      </c>
      <c r="D57" s="13"/>
      <c r="E57" s="207">
        <v>9</v>
      </c>
      <c r="F57" s="212"/>
      <c r="G57" s="198">
        <v>0</v>
      </c>
      <c r="H57" s="198"/>
      <c r="I57" s="198">
        <v>0</v>
      </c>
      <c r="J57" s="198"/>
      <c r="K57" s="198">
        <v>120753003</v>
      </c>
      <c r="L57" s="198"/>
      <c r="M57" s="198">
        <v>1260375</v>
      </c>
    </row>
    <row r="58" spans="1:13" ht="16.5" customHeight="1" x14ac:dyDescent="0.4">
      <c r="C58" s="18" t="s">
        <v>341</v>
      </c>
      <c r="D58" s="13"/>
      <c r="E58" s="207">
        <v>10</v>
      </c>
      <c r="F58" s="212"/>
      <c r="G58" s="198">
        <v>61030343.590000004</v>
      </c>
      <c r="H58" s="198"/>
      <c r="I58" s="198">
        <v>-283087106.88999999</v>
      </c>
      <c r="J58" s="198"/>
      <c r="K58" s="198">
        <v>61030301.759999998</v>
      </c>
      <c r="L58" s="198"/>
      <c r="M58" s="198">
        <v>-283086953</v>
      </c>
    </row>
    <row r="59" spans="1:13" s="13" customFormat="1" ht="16.5" customHeight="1" x14ac:dyDescent="0.4">
      <c r="C59" s="18" t="s">
        <v>229</v>
      </c>
      <c r="E59" s="141" t="s">
        <v>357</v>
      </c>
      <c r="F59" s="212"/>
      <c r="G59" s="198">
        <v>-19311.560000000001</v>
      </c>
      <c r="H59" s="198"/>
      <c r="I59" s="198">
        <v>-17441812.190000001</v>
      </c>
      <c r="J59" s="198"/>
      <c r="K59" s="198">
        <v>-19320.560000000001</v>
      </c>
      <c r="L59" s="198"/>
      <c r="M59" s="198">
        <v>-17441812.190000001</v>
      </c>
    </row>
    <row r="60" spans="1:13" s="13" customFormat="1" ht="16.5" customHeight="1" x14ac:dyDescent="0.4">
      <c r="C60" s="7" t="s">
        <v>287</v>
      </c>
      <c r="E60" s="141" t="s">
        <v>376</v>
      </c>
      <c r="F60" s="212"/>
      <c r="G60" s="198">
        <v>-250000000</v>
      </c>
      <c r="H60" s="198"/>
      <c r="I60" s="198">
        <v>-25369374</v>
      </c>
      <c r="J60" s="198"/>
      <c r="K60" s="198">
        <v>-250000000</v>
      </c>
      <c r="L60" s="198"/>
      <c r="M60" s="198">
        <v>-25369374</v>
      </c>
    </row>
    <row r="61" spans="1:13" s="13" customFormat="1" ht="16.5" customHeight="1" x14ac:dyDescent="0.4">
      <c r="C61" s="7" t="s">
        <v>288</v>
      </c>
      <c r="E61" s="141" t="s">
        <v>236</v>
      </c>
      <c r="F61" s="212"/>
      <c r="G61" s="198">
        <v>0</v>
      </c>
      <c r="H61" s="198"/>
      <c r="I61" s="198">
        <v>0</v>
      </c>
      <c r="J61" s="198"/>
      <c r="K61" s="198">
        <v>1000000</v>
      </c>
      <c r="L61" s="198"/>
      <c r="M61" s="198">
        <v>900000</v>
      </c>
    </row>
    <row r="62" spans="1:13" s="13" customFormat="1" ht="16.5" customHeight="1" x14ac:dyDescent="0.4">
      <c r="C62" s="7" t="s">
        <v>354</v>
      </c>
      <c r="E62" s="141"/>
      <c r="F62" s="212"/>
      <c r="G62" s="198">
        <v>29818855.609999999</v>
      </c>
      <c r="H62" s="198"/>
      <c r="I62" s="198">
        <v>0</v>
      </c>
      <c r="J62" s="198"/>
      <c r="K62" s="198">
        <v>29818855.609999999</v>
      </c>
      <c r="L62" s="198"/>
      <c r="M62" s="198">
        <v>0</v>
      </c>
    </row>
    <row r="63" spans="1:13" ht="16.5" customHeight="1" x14ac:dyDescent="0.4">
      <c r="A63" s="13"/>
      <c r="B63" s="13"/>
      <c r="C63" s="13"/>
      <c r="D63" s="18" t="s">
        <v>202</v>
      </c>
      <c r="E63" s="212"/>
      <c r="F63" s="212"/>
      <c r="G63" s="151">
        <f>SUM(G57:G62)</f>
        <v>-159170112.36000001</v>
      </c>
      <c r="H63" s="199"/>
      <c r="I63" s="151">
        <f>SUM(I57:I62)</f>
        <v>-325898293.07999998</v>
      </c>
      <c r="J63" s="199"/>
      <c r="K63" s="151">
        <f>SUM(K57:K62)</f>
        <v>-37417160.190000013</v>
      </c>
      <c r="L63" s="199"/>
      <c r="M63" s="151">
        <f>SUM(M57:M62)</f>
        <v>-323737764.19</v>
      </c>
    </row>
    <row r="64" spans="1:13" ht="16.5" customHeight="1" x14ac:dyDescent="0.4">
      <c r="A64" s="18" t="s">
        <v>200</v>
      </c>
      <c r="B64" s="13"/>
      <c r="C64" s="13"/>
      <c r="D64" s="13"/>
      <c r="E64" s="207"/>
      <c r="F64" s="212"/>
      <c r="G64" s="152"/>
      <c r="H64" s="152"/>
      <c r="I64" s="152"/>
      <c r="J64" s="152"/>
      <c r="K64" s="152"/>
      <c r="L64" s="152"/>
      <c r="M64" s="152"/>
    </row>
    <row r="65" spans="1:14" ht="16.5" customHeight="1" x14ac:dyDescent="0.4">
      <c r="B65" s="13"/>
      <c r="C65" s="13" t="s">
        <v>381</v>
      </c>
      <c r="D65" s="13"/>
      <c r="E65" s="207">
        <v>16</v>
      </c>
      <c r="F65" s="212"/>
      <c r="G65" s="152">
        <v>100000000</v>
      </c>
      <c r="H65" s="152"/>
      <c r="I65" s="152">
        <v>0</v>
      </c>
      <c r="J65" s="152"/>
      <c r="K65" s="199">
        <v>100000000</v>
      </c>
      <c r="L65" s="152"/>
      <c r="M65" s="152">
        <v>0</v>
      </c>
    </row>
    <row r="66" spans="1:14" ht="16.5" customHeight="1" x14ac:dyDescent="0.4">
      <c r="B66" s="13"/>
      <c r="C66" s="13" t="s">
        <v>299</v>
      </c>
      <c r="D66" s="13"/>
      <c r="E66" s="207">
        <v>2.7</v>
      </c>
      <c r="F66" s="212"/>
      <c r="G66" s="152">
        <v>0</v>
      </c>
      <c r="H66" s="152"/>
      <c r="I66" s="152">
        <v>0</v>
      </c>
      <c r="J66" s="152"/>
      <c r="K66" s="199">
        <v>-123280400</v>
      </c>
      <c r="L66" s="152"/>
      <c r="M66" s="152">
        <v>159797200</v>
      </c>
    </row>
    <row r="67" spans="1:14" ht="16.5" customHeight="1" x14ac:dyDescent="0.4">
      <c r="B67" s="13"/>
      <c r="C67" s="13" t="s">
        <v>358</v>
      </c>
      <c r="D67" s="13"/>
      <c r="E67" s="207">
        <v>17</v>
      </c>
      <c r="F67" s="212"/>
      <c r="G67" s="152">
        <v>-2735342.09</v>
      </c>
      <c r="H67" s="152"/>
      <c r="I67" s="152">
        <v>0</v>
      </c>
      <c r="J67" s="152"/>
      <c r="K67" s="152">
        <v>-2735342.09</v>
      </c>
      <c r="L67" s="152"/>
      <c r="M67" s="152">
        <v>0</v>
      </c>
    </row>
    <row r="68" spans="1:14" ht="16.5" customHeight="1" x14ac:dyDescent="0.4">
      <c r="A68" s="13"/>
      <c r="B68" s="13"/>
      <c r="C68" s="7" t="s">
        <v>322</v>
      </c>
      <c r="E68" s="31"/>
      <c r="F68" s="212"/>
      <c r="G68" s="199">
        <v>0</v>
      </c>
      <c r="H68" s="199"/>
      <c r="I68" s="199">
        <v>183536155.11000001</v>
      </c>
      <c r="J68" s="199"/>
      <c r="K68" s="199">
        <v>0</v>
      </c>
      <c r="L68" s="199"/>
      <c r="M68" s="199">
        <v>183536155.11000001</v>
      </c>
    </row>
    <row r="69" spans="1:14" ht="16.5" customHeight="1" x14ac:dyDescent="0.4">
      <c r="A69" s="13"/>
      <c r="B69" s="13"/>
      <c r="C69" s="18" t="s">
        <v>364</v>
      </c>
      <c r="E69" s="207">
        <v>9</v>
      </c>
      <c r="F69" s="212"/>
      <c r="G69" s="199">
        <v>-450</v>
      </c>
      <c r="H69" s="199"/>
      <c r="I69" s="199">
        <v>0</v>
      </c>
      <c r="J69" s="199"/>
      <c r="K69" s="199">
        <v>0</v>
      </c>
      <c r="L69" s="199"/>
      <c r="M69" s="199">
        <v>0</v>
      </c>
    </row>
    <row r="70" spans="1:14" ht="16.5" customHeight="1" x14ac:dyDescent="0.4">
      <c r="A70" s="13"/>
      <c r="B70" s="13"/>
      <c r="C70" s="17" t="s">
        <v>199</v>
      </c>
      <c r="E70" s="207">
        <v>21</v>
      </c>
      <c r="F70" s="212"/>
      <c r="G70" s="148">
        <v>-391866939.95999998</v>
      </c>
      <c r="H70" s="199"/>
      <c r="I70" s="148">
        <v>-332356252.88</v>
      </c>
      <c r="J70" s="199"/>
      <c r="K70" s="148">
        <v>-338256291.95999998</v>
      </c>
      <c r="L70" s="199"/>
      <c r="M70" s="148">
        <v>-332356252.88</v>
      </c>
    </row>
    <row r="71" spans="1:14" ht="16.5" customHeight="1" x14ac:dyDescent="0.4">
      <c r="A71" s="13"/>
      <c r="B71" s="13"/>
      <c r="C71" s="13"/>
      <c r="D71" s="18" t="s">
        <v>201</v>
      </c>
      <c r="E71" s="212"/>
      <c r="F71" s="212"/>
      <c r="G71" s="148">
        <f>SUM(G65:G70)</f>
        <v>-294602732.04999995</v>
      </c>
      <c r="H71" s="199"/>
      <c r="I71" s="148">
        <f>SUM(I65:I70)</f>
        <v>-148820097.76999998</v>
      </c>
      <c r="J71" s="199"/>
      <c r="K71" s="148">
        <f>SUM(K65:K70)</f>
        <v>-364272034.04999995</v>
      </c>
      <c r="L71" s="199"/>
      <c r="M71" s="148">
        <f>SUM(M65:M70)</f>
        <v>10977102.230000019</v>
      </c>
    </row>
    <row r="72" spans="1:14" ht="16.5" customHeight="1" x14ac:dyDescent="0.4">
      <c r="A72" s="13" t="s">
        <v>179</v>
      </c>
      <c r="B72" s="13"/>
      <c r="C72" s="13"/>
      <c r="D72" s="13"/>
      <c r="E72" s="212"/>
      <c r="F72" s="212"/>
      <c r="G72" s="148">
        <v>-72861034.909999996</v>
      </c>
      <c r="H72" s="199"/>
      <c r="I72" s="148">
        <v>-36835170.490000002</v>
      </c>
      <c r="J72" s="199"/>
      <c r="K72" s="148">
        <v>0</v>
      </c>
      <c r="L72" s="199"/>
      <c r="M72" s="148">
        <v>0</v>
      </c>
    </row>
    <row r="73" spans="1:14" ht="16.5" customHeight="1" x14ac:dyDescent="0.4">
      <c r="A73" s="18" t="s">
        <v>190</v>
      </c>
      <c r="B73" s="13"/>
      <c r="C73" s="13"/>
      <c r="D73" s="13"/>
      <c r="E73" s="212"/>
      <c r="F73" s="212"/>
      <c r="G73" s="153">
        <f>+G71+G63+G44+G72</f>
        <v>-827141740.11999989</v>
      </c>
      <c r="H73" s="198"/>
      <c r="I73" s="153">
        <f>+I71+I63+I44+I72</f>
        <v>-326118685.23999989</v>
      </c>
      <c r="J73" s="198"/>
      <c r="K73" s="153">
        <f>+K71+K63+K44+K72</f>
        <v>-798932586.88999987</v>
      </c>
      <c r="L73" s="198"/>
      <c r="M73" s="153">
        <f>+M71+M63+M44+M72</f>
        <v>-174238032.49999985</v>
      </c>
    </row>
    <row r="74" spans="1:14" ht="16.5" customHeight="1" x14ac:dyDescent="0.4">
      <c r="A74" s="18" t="s">
        <v>319</v>
      </c>
      <c r="B74" s="13"/>
      <c r="C74" s="13"/>
      <c r="D74" s="13"/>
      <c r="E74" s="212"/>
      <c r="F74" s="212"/>
      <c r="G74" s="153">
        <v>1017330154.5599999</v>
      </c>
      <c r="H74" s="198"/>
      <c r="I74" s="153">
        <v>640582283.38999999</v>
      </c>
      <c r="J74" s="198"/>
      <c r="K74" s="198">
        <v>857164767.07000005</v>
      </c>
      <c r="L74" s="198"/>
      <c r="M74" s="198">
        <v>413961302.06</v>
      </c>
      <c r="N74" s="9"/>
    </row>
    <row r="75" spans="1:14" ht="16.5" customHeight="1" thickBot="1" x14ac:dyDescent="0.45">
      <c r="A75" s="18" t="s">
        <v>320</v>
      </c>
      <c r="B75" s="13"/>
      <c r="C75" s="13"/>
      <c r="D75" s="13"/>
      <c r="E75" s="212"/>
      <c r="F75" s="212"/>
      <c r="G75" s="154">
        <f>SUM(G73:G74)</f>
        <v>190188414.44000006</v>
      </c>
      <c r="H75" s="198"/>
      <c r="I75" s="154">
        <f>SUM(I73:I74)</f>
        <v>314463598.1500001</v>
      </c>
      <c r="J75" s="198"/>
      <c r="K75" s="154">
        <f>SUM(K73:K74)</f>
        <v>58232180.180000186</v>
      </c>
      <c r="L75" s="198"/>
      <c r="M75" s="154">
        <f>SUM(M73:M74)</f>
        <v>239723269.56000015</v>
      </c>
    </row>
    <row r="76" spans="1:14" ht="16.5" customHeight="1" thickTop="1" x14ac:dyDescent="0.4">
      <c r="E76" s="209"/>
      <c r="F76" s="209"/>
      <c r="G76" s="147"/>
      <c r="H76" s="147"/>
      <c r="I76" s="147"/>
      <c r="J76" s="147"/>
      <c r="K76" s="147"/>
      <c r="L76" s="147"/>
      <c r="M76" s="147"/>
    </row>
    <row r="77" spans="1:14" ht="16.5" customHeight="1" x14ac:dyDescent="0.5">
      <c r="A77" s="201" t="s">
        <v>360</v>
      </c>
      <c r="B77" s="204"/>
      <c r="C77" s="204"/>
      <c r="D77" s="204"/>
      <c r="E77" s="194"/>
      <c r="F77" s="200"/>
      <c r="G77" s="198"/>
      <c r="H77" s="198"/>
      <c r="I77" s="198"/>
      <c r="J77" s="198"/>
      <c r="K77" s="198"/>
      <c r="L77" s="198"/>
      <c r="M77" s="198"/>
    </row>
    <row r="78" spans="1:14" ht="16.5" customHeight="1" x14ac:dyDescent="0.5">
      <c r="A78" s="204"/>
      <c r="B78" s="202" t="s">
        <v>361</v>
      </c>
      <c r="C78" s="196"/>
      <c r="D78" s="204"/>
      <c r="E78" s="195"/>
      <c r="F78" s="204"/>
      <c r="G78" s="199">
        <v>0</v>
      </c>
      <c r="H78" s="198"/>
      <c r="I78" s="199">
        <v>0</v>
      </c>
      <c r="J78" s="198"/>
      <c r="K78" s="199">
        <v>67162234.099999994</v>
      </c>
      <c r="L78" s="198"/>
      <c r="M78" s="199">
        <v>0</v>
      </c>
    </row>
    <row r="79" spans="1:14" ht="16.5" customHeight="1" x14ac:dyDescent="0.5">
      <c r="A79" s="204"/>
      <c r="B79" s="203" t="s">
        <v>363</v>
      </c>
      <c r="C79" s="196"/>
      <c r="D79" s="204"/>
      <c r="E79" s="197"/>
      <c r="F79" s="200"/>
      <c r="G79" s="199">
        <v>0</v>
      </c>
      <c r="H79" s="198"/>
      <c r="I79" s="199">
        <v>0</v>
      </c>
      <c r="J79" s="198"/>
      <c r="K79" s="199">
        <f>4042202.74+39626.71-40818.3</f>
        <v>4041011.1500000004</v>
      </c>
      <c r="L79" s="198"/>
      <c r="M79" s="199">
        <v>0</v>
      </c>
    </row>
    <row r="80" spans="1:14" ht="16.5" customHeight="1" x14ac:dyDescent="0.5">
      <c r="A80" s="204"/>
      <c r="B80" s="203" t="s">
        <v>365</v>
      </c>
      <c r="C80" s="196"/>
      <c r="D80" s="204"/>
      <c r="E80" s="194"/>
      <c r="F80" s="200"/>
      <c r="G80" s="199">
        <v>0</v>
      </c>
      <c r="H80" s="198"/>
      <c r="I80" s="199">
        <v>0</v>
      </c>
      <c r="J80" s="198"/>
      <c r="K80" s="199">
        <v>70454406.909999996</v>
      </c>
      <c r="L80" s="198"/>
      <c r="M80" s="199">
        <v>0</v>
      </c>
    </row>
    <row r="81" spans="1:24" ht="16.5" customHeight="1" x14ac:dyDescent="0.5">
      <c r="A81" s="204"/>
      <c r="B81" s="203" t="s">
        <v>362</v>
      </c>
      <c r="C81" s="196"/>
      <c r="D81" s="204"/>
      <c r="E81" s="197"/>
      <c r="F81" s="200"/>
      <c r="G81" s="199">
        <v>0</v>
      </c>
      <c r="H81" s="198"/>
      <c r="I81" s="199">
        <v>0</v>
      </c>
      <c r="J81" s="198"/>
      <c r="K81" s="199">
        <v>748838.34</v>
      </c>
      <c r="L81" s="198"/>
      <c r="M81" s="199">
        <v>0</v>
      </c>
    </row>
    <row r="82" spans="1:24" ht="16.5" customHeight="1" x14ac:dyDescent="0.5">
      <c r="A82" s="204"/>
      <c r="B82" s="196"/>
      <c r="C82" s="196"/>
      <c r="D82" s="204"/>
      <c r="E82" s="197"/>
      <c r="F82" s="200"/>
      <c r="G82" s="199"/>
      <c r="H82" s="198"/>
      <c r="I82" s="199"/>
      <c r="J82" s="198"/>
      <c r="K82" s="199"/>
      <c r="L82" s="198"/>
      <c r="M82" s="199"/>
    </row>
    <row r="83" spans="1:24" ht="16.5" customHeight="1" x14ac:dyDescent="0.4">
      <c r="A83" s="13"/>
    </row>
    <row r="84" spans="1:24" ht="16.5" customHeight="1" x14ac:dyDescent="0.4">
      <c r="A84" s="13"/>
    </row>
    <row r="86" spans="1:24" ht="16.5" customHeight="1" x14ac:dyDescent="0.4">
      <c r="A86" s="7"/>
    </row>
    <row r="87" spans="1:24" ht="16.5" customHeight="1" x14ac:dyDescent="0.4">
      <c r="A87" s="13" t="s">
        <v>235</v>
      </c>
    </row>
    <row r="88" spans="1:24" ht="16.5" customHeight="1" x14ac:dyDescent="0.4">
      <c r="A88" s="7"/>
    </row>
    <row r="89" spans="1:24" ht="16.5" customHeight="1" x14ac:dyDescent="0.4">
      <c r="A89" s="13"/>
    </row>
    <row r="90" spans="1:24" ht="16.5" customHeight="1" x14ac:dyDescent="0.4">
      <c r="A90" s="7"/>
    </row>
    <row r="91" spans="1:24" ht="16.5" customHeight="1" x14ac:dyDescent="0.4">
      <c r="A91" s="7"/>
    </row>
    <row r="92" spans="1:24" ht="16.5" customHeight="1" x14ac:dyDescent="0.4">
      <c r="A92" s="7"/>
    </row>
    <row r="93" spans="1:24" ht="16.5" customHeight="1" x14ac:dyDescent="0.4">
      <c r="A93" s="13"/>
      <c r="B93" s="24" t="s">
        <v>149</v>
      </c>
      <c r="C93" s="207"/>
      <c r="D93" s="24"/>
      <c r="E93" s="207"/>
      <c r="F93" s="24" t="s">
        <v>149</v>
      </c>
      <c r="G93" s="207"/>
      <c r="H93" s="207"/>
      <c r="I93" s="207"/>
      <c r="J93" s="207"/>
      <c r="K93" s="207"/>
      <c r="L93" s="207"/>
      <c r="M93" s="207"/>
    </row>
    <row r="94" spans="1:24" ht="16.5" customHeight="1" x14ac:dyDescent="0.4">
      <c r="A94" s="7"/>
    </row>
    <row r="95" spans="1:24" s="7" customFormat="1" ht="16.5" customHeight="1" x14ac:dyDescent="0.4">
      <c r="A95" s="214"/>
      <c r="B95" s="214"/>
      <c r="C95" s="214"/>
      <c r="D95" s="214"/>
      <c r="E95" s="214"/>
      <c r="F95" s="214"/>
      <c r="G95" s="214"/>
      <c r="H95" s="214"/>
      <c r="I95" s="214"/>
      <c r="J95" s="214"/>
      <c r="K95" s="214"/>
      <c r="L95" s="214"/>
      <c r="M95" s="214"/>
      <c r="N95" s="17"/>
      <c r="O95" s="22"/>
      <c r="P95" s="17"/>
      <c r="Q95" s="17"/>
      <c r="R95" s="17"/>
      <c r="S95" s="17"/>
      <c r="T95" s="17"/>
      <c r="U95" s="17"/>
      <c r="V95" s="17"/>
      <c r="W95" s="17"/>
      <c r="X95" s="17"/>
    </row>
    <row r="96" spans="1:24" s="7" customFormat="1" ht="16.5" customHeight="1" x14ac:dyDescent="0.4">
      <c r="B96" s="24"/>
      <c r="D96" s="207"/>
      <c r="E96" s="24"/>
      <c r="F96" s="24"/>
      <c r="H96" s="24"/>
      <c r="I96" s="24"/>
      <c r="J96" s="24"/>
      <c r="K96" s="24"/>
      <c r="L96" s="24"/>
      <c r="M96" s="24"/>
      <c r="N96" s="17"/>
      <c r="O96" s="22"/>
      <c r="P96" s="17"/>
      <c r="Q96" s="17"/>
      <c r="R96" s="17"/>
      <c r="S96" s="17"/>
      <c r="T96" s="17"/>
      <c r="U96" s="17"/>
      <c r="V96" s="17"/>
      <c r="W96" s="17"/>
      <c r="X96" s="17"/>
    </row>
    <row r="97" spans="4:13" ht="16.5" hidden="1" customHeight="1" x14ac:dyDescent="0.4">
      <c r="E97" s="209"/>
      <c r="F97" s="209"/>
    </row>
    <row r="98" spans="4:13" ht="16.5" hidden="1" customHeight="1" x14ac:dyDescent="0.4">
      <c r="E98" s="209"/>
      <c r="F98" s="209"/>
    </row>
    <row r="99" spans="4:13" ht="16.5" hidden="1" customHeight="1" x14ac:dyDescent="0.4">
      <c r="D99" s="208" t="s">
        <v>225</v>
      </c>
      <c r="E99" s="209"/>
      <c r="F99" s="209"/>
      <c r="G99" s="12">
        <v>190188414.44</v>
      </c>
      <c r="H99" s="22"/>
      <c r="I99" s="12">
        <v>314463598.14999998</v>
      </c>
      <c r="J99" s="22"/>
      <c r="K99" s="12">
        <v>58232180.18</v>
      </c>
      <c r="L99" s="12"/>
      <c r="M99" s="12">
        <v>239723269.56</v>
      </c>
    </row>
    <row r="100" spans="4:13" ht="16.5" hidden="1" customHeight="1" x14ac:dyDescent="0.4">
      <c r="D100" s="208" t="s">
        <v>226</v>
      </c>
      <c r="E100" s="209"/>
      <c r="F100" s="209"/>
      <c r="G100" s="18">
        <f>+G99-G75</f>
        <v>0</v>
      </c>
      <c r="I100" s="18">
        <f>+I99-I75</f>
        <v>0</v>
      </c>
      <c r="K100" s="18">
        <f>+K99-K75</f>
        <v>-1.862645149230957E-7</v>
      </c>
      <c r="M100" s="18">
        <f>+M99-M75</f>
        <v>0</v>
      </c>
    </row>
    <row r="101" spans="4:13" ht="16.5" customHeight="1" x14ac:dyDescent="0.4">
      <c r="E101" s="209"/>
      <c r="F101" s="209"/>
    </row>
    <row r="102" spans="4:13" ht="16.5" customHeight="1" x14ac:dyDescent="0.4">
      <c r="E102" s="209"/>
      <c r="F102" s="209"/>
    </row>
    <row r="103" spans="4:13" ht="16.5" customHeight="1" x14ac:dyDescent="0.4">
      <c r="E103" s="209"/>
      <c r="F103" s="209"/>
    </row>
    <row r="104" spans="4:13" ht="16.5" customHeight="1" x14ac:dyDescent="0.4">
      <c r="E104" s="209"/>
      <c r="F104" s="209"/>
    </row>
    <row r="105" spans="4:13" ht="16.5" customHeight="1" x14ac:dyDescent="0.4">
      <c r="E105" s="209"/>
      <c r="F105" s="209"/>
    </row>
    <row r="106" spans="4:13" ht="16.5" customHeight="1" x14ac:dyDescent="0.4">
      <c r="E106" s="209"/>
      <c r="F106" s="209"/>
    </row>
    <row r="107" spans="4:13" ht="16.5" customHeight="1" x14ac:dyDescent="0.4">
      <c r="E107" s="209"/>
      <c r="F107" s="209"/>
    </row>
    <row r="108" spans="4:13" ht="16.5" customHeight="1" x14ac:dyDescent="0.4">
      <c r="E108" s="209"/>
      <c r="F108" s="209"/>
    </row>
    <row r="109" spans="4:13" ht="16.5" customHeight="1" x14ac:dyDescent="0.4">
      <c r="E109" s="209"/>
      <c r="F109" s="209"/>
    </row>
    <row r="110" spans="4:13" ht="16.5" customHeight="1" x14ac:dyDescent="0.4">
      <c r="E110" s="209"/>
      <c r="F110" s="209"/>
    </row>
    <row r="111" spans="4:13" ht="16.5" customHeight="1" x14ac:dyDescent="0.4">
      <c r="E111" s="209"/>
      <c r="F111" s="209"/>
    </row>
    <row r="112" spans="4:13" ht="16.5" customHeight="1" x14ac:dyDescent="0.4">
      <c r="E112" s="209"/>
      <c r="F112" s="209"/>
    </row>
    <row r="113" spans="5:6" ht="16.5" customHeight="1" x14ac:dyDescent="0.4">
      <c r="E113" s="209"/>
      <c r="F113" s="209"/>
    </row>
    <row r="114" spans="5:6" ht="16.5" customHeight="1" x14ac:dyDescent="0.4">
      <c r="E114" s="209"/>
      <c r="F114" s="209"/>
    </row>
    <row r="115" spans="5:6" ht="16.5" customHeight="1" x14ac:dyDescent="0.4">
      <c r="E115" s="209"/>
      <c r="F115" s="209"/>
    </row>
    <row r="116" spans="5:6" ht="16.5" customHeight="1" x14ac:dyDescent="0.4">
      <c r="E116" s="209"/>
      <c r="F116" s="209"/>
    </row>
    <row r="117" spans="5:6" ht="16.5" customHeight="1" x14ac:dyDescent="0.4">
      <c r="E117" s="209"/>
      <c r="F117" s="209"/>
    </row>
    <row r="118" spans="5:6" ht="16.5" customHeight="1" x14ac:dyDescent="0.4">
      <c r="E118" s="209"/>
      <c r="F118" s="209"/>
    </row>
    <row r="119" spans="5:6" ht="16.5" customHeight="1" x14ac:dyDescent="0.4">
      <c r="E119" s="209"/>
      <c r="F119" s="209"/>
    </row>
    <row r="120" spans="5:6" ht="16.5" customHeight="1" x14ac:dyDescent="0.4">
      <c r="E120" s="209"/>
      <c r="F120" s="209"/>
    </row>
    <row r="121" spans="5:6" ht="16.5" customHeight="1" x14ac:dyDescent="0.4">
      <c r="E121" s="209"/>
      <c r="F121" s="209"/>
    </row>
    <row r="122" spans="5:6" ht="16.5" customHeight="1" x14ac:dyDescent="0.4">
      <c r="E122" s="209"/>
      <c r="F122" s="209"/>
    </row>
    <row r="123" spans="5:6" ht="16.5" customHeight="1" x14ac:dyDescent="0.4">
      <c r="E123" s="209"/>
      <c r="F123" s="209"/>
    </row>
    <row r="124" spans="5:6" ht="16.5" customHeight="1" x14ac:dyDescent="0.4">
      <c r="E124" s="209"/>
      <c r="F124" s="209"/>
    </row>
    <row r="125" spans="5:6" ht="16.5" customHeight="1" x14ac:dyDescent="0.4">
      <c r="E125" s="209"/>
      <c r="F125" s="209"/>
    </row>
    <row r="126" spans="5:6" ht="16.5" customHeight="1" x14ac:dyDescent="0.4">
      <c r="E126" s="209"/>
      <c r="F126" s="209"/>
    </row>
  </sheetData>
  <mergeCells count="10">
    <mergeCell ref="A55:M55"/>
    <mergeCell ref="A95:M95"/>
    <mergeCell ref="A3:M3"/>
    <mergeCell ref="G7:M7"/>
    <mergeCell ref="G8:I8"/>
    <mergeCell ref="K8:M8"/>
    <mergeCell ref="A4:M4"/>
    <mergeCell ref="A5:M5"/>
    <mergeCell ref="G9:I9"/>
    <mergeCell ref="K9:M9"/>
  </mergeCells>
  <phoneticPr fontId="0" type="noConversion"/>
  <printOptions horizontalCentered="1"/>
  <pageMargins left="0.39370078740157499" right="0.31496062992126" top="0.55118110236220497" bottom="0.23622047244094499" header="0.31496062992126" footer="0.118110236220472"/>
  <pageSetup paperSize="9" scale="92" firstPageNumber="10" fitToHeight="2" orientation="portrait" useFirstPageNumber="1" r:id="rId1"/>
  <headerFooter alignWithMargins="0">
    <oddFooter>&amp;C&amp;P</oddFooter>
  </headerFooter>
  <ignoredErrors>
    <ignoredError sqref="E63:F63 E19" numberStoredAsText="1"/>
    <ignoredError sqref="H63 L63 J63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96" customWidth="1"/>
    <col min="2" max="2" width="13.42578125" style="112" bestFit="1" customWidth="1"/>
    <col min="3" max="3" width="13.85546875" style="91" bestFit="1" customWidth="1"/>
    <col min="4" max="4" width="14.85546875" style="97" bestFit="1" customWidth="1"/>
    <col min="5" max="6" width="12.7109375" style="91" customWidth="1"/>
    <col min="7" max="7" width="14.85546875" style="94" bestFit="1" customWidth="1"/>
    <col min="8" max="8" width="15.28515625" style="95" customWidth="1"/>
    <col min="9" max="10" width="12.7109375" style="94" customWidth="1"/>
    <col min="11" max="11" width="2.28515625" style="96" customWidth="1"/>
    <col min="12" max="13" width="12.7109375" style="96" customWidth="1"/>
    <col min="14" max="16384" width="9.140625" style="96"/>
  </cols>
  <sheetData>
    <row r="1" spans="1:10" x14ac:dyDescent="0.45">
      <c r="A1" s="89" t="s">
        <v>52</v>
      </c>
      <c r="B1" s="90"/>
      <c r="D1" s="92"/>
      <c r="E1" s="93"/>
      <c r="F1" s="93"/>
    </row>
    <row r="2" spans="1:10" ht="21.75" customHeight="1" x14ac:dyDescent="0.45">
      <c r="A2" s="89" t="s">
        <v>89</v>
      </c>
      <c r="B2" s="90"/>
    </row>
    <row r="3" spans="1:10" ht="21.75" customHeight="1" x14ac:dyDescent="0.45">
      <c r="A3" s="98" t="s">
        <v>69</v>
      </c>
      <c r="B3" s="99"/>
      <c r="C3" s="100"/>
      <c r="D3" s="101"/>
      <c r="E3" s="100"/>
      <c r="F3" s="100"/>
      <c r="G3" s="100"/>
      <c r="H3" s="102"/>
      <c r="I3" s="100"/>
      <c r="J3" s="100"/>
    </row>
    <row r="4" spans="1:10" ht="21.75" customHeight="1" x14ac:dyDescent="0.45">
      <c r="A4" s="103"/>
      <c r="B4" s="90"/>
      <c r="H4" s="228" t="s">
        <v>71</v>
      </c>
      <c r="I4" s="228"/>
    </row>
    <row r="5" spans="1:10" s="105" customFormat="1" ht="24" customHeight="1" x14ac:dyDescent="0.45">
      <c r="B5" s="106" t="s">
        <v>63</v>
      </c>
      <c r="C5" s="104" t="s">
        <v>64</v>
      </c>
      <c r="D5" s="99" t="s">
        <v>65</v>
      </c>
      <c r="E5" s="104" t="s">
        <v>67</v>
      </c>
      <c r="F5" s="104" t="s">
        <v>66</v>
      </c>
      <c r="G5" s="104" t="s">
        <v>27</v>
      </c>
      <c r="H5" s="107" t="s">
        <v>72</v>
      </c>
      <c r="I5" s="93" t="s">
        <v>73</v>
      </c>
      <c r="J5" s="100" t="s">
        <v>33</v>
      </c>
    </row>
    <row r="6" spans="1:10" s="105" customFormat="1" ht="24.75" customHeight="1" x14ac:dyDescent="0.45">
      <c r="A6" s="108" t="s">
        <v>90</v>
      </c>
      <c r="B6" s="109"/>
      <c r="C6" s="93"/>
      <c r="D6" s="92"/>
      <c r="E6" s="93"/>
      <c r="F6" s="93"/>
      <c r="G6" s="93"/>
      <c r="H6" s="110"/>
      <c r="I6" s="93"/>
      <c r="J6" s="91"/>
    </row>
    <row r="7" spans="1:10" s="105" customFormat="1" ht="18" customHeight="1" x14ac:dyDescent="0.45">
      <c r="B7" s="109"/>
      <c r="C7" s="93"/>
      <c r="D7" s="92"/>
      <c r="E7" s="111">
        <v>25000</v>
      </c>
      <c r="F7" s="111">
        <v>250000</v>
      </c>
      <c r="G7" s="93"/>
      <c r="H7" s="110"/>
      <c r="I7" s="93"/>
      <c r="J7" s="91"/>
    </row>
    <row r="8" spans="1:10" x14ac:dyDescent="0.45">
      <c r="A8" s="96" t="s">
        <v>98</v>
      </c>
      <c r="B8" s="112">
        <v>4250000</v>
      </c>
      <c r="C8" s="91">
        <v>10000000</v>
      </c>
      <c r="D8" s="97">
        <v>42940000</v>
      </c>
      <c r="E8" s="91">
        <f>+E7*36.48</f>
        <v>911999.99999999988</v>
      </c>
      <c r="F8" s="91">
        <f>+F7*35.32</f>
        <v>8830000</v>
      </c>
      <c r="I8" s="91"/>
    </row>
    <row r="9" spans="1:10" x14ac:dyDescent="0.45">
      <c r="A9" s="96" t="s">
        <v>128</v>
      </c>
      <c r="B9" s="112">
        <v>533031.27</v>
      </c>
      <c r="C9" s="91">
        <v>-11662591.75</v>
      </c>
      <c r="D9" s="97">
        <v>-18618021.34</v>
      </c>
      <c r="E9" s="91">
        <v>0</v>
      </c>
      <c r="F9" s="91">
        <v>0</v>
      </c>
      <c r="I9" s="91"/>
    </row>
    <row r="10" spans="1:10" x14ac:dyDescent="0.45">
      <c r="A10" s="96" t="s">
        <v>91</v>
      </c>
      <c r="B10" s="112">
        <v>99.99</v>
      </c>
      <c r="C10" s="91">
        <v>49.99</v>
      </c>
      <c r="D10" s="97">
        <v>99.99</v>
      </c>
      <c r="E10" s="91">
        <v>100</v>
      </c>
      <c r="F10" s="91">
        <v>51</v>
      </c>
      <c r="I10" s="91"/>
    </row>
    <row r="11" spans="1:10" x14ac:dyDescent="0.45">
      <c r="A11" s="113" t="s">
        <v>92</v>
      </c>
      <c r="B11" s="101">
        <f>+B10*B8/100</f>
        <v>4249575</v>
      </c>
      <c r="C11" s="101">
        <f>+C10*C8/100</f>
        <v>4999000</v>
      </c>
      <c r="D11" s="101">
        <f>+D10*D8/100</f>
        <v>42935706</v>
      </c>
      <c r="E11" s="101">
        <f>+E10*E8/100</f>
        <v>911999.99999999988</v>
      </c>
      <c r="F11" s="101">
        <f>+F10*F8/100</f>
        <v>4503300</v>
      </c>
      <c r="G11" s="100"/>
      <c r="H11" s="114"/>
      <c r="I11" s="91"/>
    </row>
    <row r="12" spans="1:10" x14ac:dyDescent="0.45">
      <c r="A12" s="96" t="s">
        <v>97</v>
      </c>
      <c r="B12" s="115">
        <v>4001000</v>
      </c>
      <c r="C12" s="116">
        <v>1250375</v>
      </c>
      <c r="D12" s="117">
        <f>24321978.66+21431024.34</f>
        <v>45753003</v>
      </c>
      <c r="E12" s="116">
        <v>912000</v>
      </c>
      <c r="F12" s="116">
        <v>4503300</v>
      </c>
      <c r="G12" s="118">
        <f t="shared" ref="G12:G17" si="0">+SUM(B12:F12)</f>
        <v>56419678</v>
      </c>
      <c r="H12" s="119"/>
      <c r="I12" s="91"/>
    </row>
    <row r="13" spans="1:10" x14ac:dyDescent="0.45">
      <c r="A13" s="120" t="s">
        <v>93</v>
      </c>
      <c r="B13" s="121">
        <v>4782963.74</v>
      </c>
      <c r="C13" s="101">
        <v>-1662591.75</v>
      </c>
      <c r="D13" s="101">
        <v>24321978.66</v>
      </c>
      <c r="E13" s="101">
        <v>899000</v>
      </c>
      <c r="F13" s="101">
        <v>4584900</v>
      </c>
      <c r="G13" s="122">
        <f t="shared" si="0"/>
        <v>32926250.649999999</v>
      </c>
      <c r="H13" s="114"/>
      <c r="I13" s="91"/>
    </row>
    <row r="14" spans="1:10" x14ac:dyDescent="0.45">
      <c r="A14" s="123" t="s">
        <v>9</v>
      </c>
      <c r="B14" s="124">
        <f>+B13-B12</f>
        <v>781963.74000000022</v>
      </c>
      <c r="C14" s="124">
        <f>+C13-C12</f>
        <v>-2912966.75</v>
      </c>
      <c r="D14" s="124">
        <f>+D13-D12</f>
        <v>-21431024.34</v>
      </c>
      <c r="E14" s="124">
        <f>+E13-E12</f>
        <v>-13000</v>
      </c>
      <c r="F14" s="124">
        <f>+F13-F12</f>
        <v>81600</v>
      </c>
      <c r="G14" s="122">
        <f t="shared" si="0"/>
        <v>-23493427.350000001</v>
      </c>
      <c r="H14" s="114"/>
      <c r="I14" s="91"/>
    </row>
    <row r="15" spans="1:10" x14ac:dyDescent="0.45">
      <c r="A15" s="125" t="s">
        <v>94</v>
      </c>
      <c r="B15" s="94">
        <v>9963921.2899999991</v>
      </c>
      <c r="C15" s="91">
        <v>-1090678.93</v>
      </c>
      <c r="D15" s="97">
        <v>-1566605.83</v>
      </c>
      <c r="E15" s="91">
        <v>271135.14</v>
      </c>
      <c r="F15" s="91">
        <v>40003.35</v>
      </c>
      <c r="G15" s="94">
        <f t="shared" si="0"/>
        <v>7617775.0199999986</v>
      </c>
      <c r="H15" s="119"/>
      <c r="I15" s="91"/>
    </row>
    <row r="16" spans="1:10" x14ac:dyDescent="0.45">
      <c r="A16" s="96" t="s">
        <v>95</v>
      </c>
      <c r="B16" s="112">
        <f>+B15*B10/100</f>
        <v>9962924.8978709988</v>
      </c>
      <c r="C16" s="112"/>
      <c r="D16" s="112"/>
      <c r="E16" s="112">
        <f>+E15*E10/100</f>
        <v>271135.14</v>
      </c>
      <c r="F16" s="112">
        <f>+F15*F10/100</f>
        <v>20401.708499999997</v>
      </c>
      <c r="G16" s="94">
        <f t="shared" si="0"/>
        <v>10254461.746370999</v>
      </c>
      <c r="H16" s="119"/>
      <c r="I16" s="91"/>
    </row>
    <row r="17" spans="1:10" x14ac:dyDescent="0.45">
      <c r="A17" s="96" t="s">
        <v>96</v>
      </c>
      <c r="C17" s="112">
        <f>+C15*C10/100</f>
        <v>-545230.397107</v>
      </c>
      <c r="D17" s="112">
        <f>+D15*D10/100</f>
        <v>-1566449.1694170001</v>
      </c>
      <c r="E17" s="112"/>
      <c r="F17" s="112"/>
      <c r="G17" s="94">
        <f t="shared" si="0"/>
        <v>-2111679.5665239999</v>
      </c>
      <c r="H17" s="119"/>
      <c r="I17" s="91"/>
    </row>
    <row r="18" spans="1:10" x14ac:dyDescent="0.45">
      <c r="C18" s="112"/>
      <c r="D18" s="112"/>
      <c r="E18" s="112"/>
      <c r="F18" s="112"/>
      <c r="H18" s="119"/>
      <c r="I18" s="91"/>
    </row>
    <row r="19" spans="1:10" x14ac:dyDescent="0.45">
      <c r="A19" s="96" t="s">
        <v>118</v>
      </c>
      <c r="B19" s="112">
        <f>+B15*(100-B10)/100</f>
        <v>996.39212900050961</v>
      </c>
      <c r="C19" s="112">
        <f>+C15*(100-C10)/100</f>
        <v>-545448.53289299994</v>
      </c>
      <c r="D19" s="112">
        <f>+D15*(100-D10)/100</f>
        <v>-156.66058300008015</v>
      </c>
      <c r="E19" s="112">
        <f>+E15*(100-E10)/100</f>
        <v>0</v>
      </c>
      <c r="F19" s="112">
        <f>+F15*(100-F10)/100</f>
        <v>19601.641499999998</v>
      </c>
      <c r="G19" s="126">
        <f>+SUM(B19:F19)</f>
        <v>-525007.15984699945</v>
      </c>
      <c r="H19" s="119"/>
      <c r="I19" s="91"/>
    </row>
    <row r="20" spans="1:10" x14ac:dyDescent="0.45">
      <c r="C20" s="112"/>
      <c r="D20" s="112"/>
      <c r="E20" s="112"/>
      <c r="F20" s="112"/>
      <c r="H20" s="119"/>
      <c r="I20" s="91"/>
    </row>
    <row r="21" spans="1:10" x14ac:dyDescent="0.45">
      <c r="C21" s="112"/>
      <c r="D21" s="112"/>
      <c r="E21" s="112"/>
      <c r="F21" s="112"/>
      <c r="H21" s="119"/>
      <c r="I21" s="91"/>
    </row>
    <row r="22" spans="1:10" x14ac:dyDescent="0.45">
      <c r="A22" s="120" t="s">
        <v>125</v>
      </c>
      <c r="B22" s="112">
        <f>+B15+B8+B9</f>
        <v>14746952.559999999</v>
      </c>
      <c r="C22" s="112">
        <f>+C15+C8+C9</f>
        <v>-2753270.6799999997</v>
      </c>
      <c r="D22" s="112">
        <f>+D15+D8+D9</f>
        <v>22755372.830000002</v>
      </c>
      <c r="E22" s="112">
        <f>+E15+E8+E9</f>
        <v>1183135.1399999999</v>
      </c>
      <c r="F22" s="112">
        <f>+F15+F8+F9</f>
        <v>8870003.3499999996</v>
      </c>
      <c r="H22" s="119"/>
      <c r="I22" s="91"/>
    </row>
    <row r="23" spans="1:10" x14ac:dyDescent="0.45">
      <c r="A23" s="96" t="s">
        <v>126</v>
      </c>
      <c r="B23" s="112">
        <f>+B22*(100-B10)/100</f>
        <v>1474.6952560007544</v>
      </c>
      <c r="C23" s="112">
        <f>+C22*(100-C10)/100</f>
        <v>-1376910.667068</v>
      </c>
      <c r="D23" s="112">
        <f>+D22*(100-D10)/100</f>
        <v>2275.5372830011643</v>
      </c>
      <c r="E23" s="112">
        <f>+E22*(100-E10)/100</f>
        <v>0</v>
      </c>
      <c r="F23" s="112">
        <f>+F22*(100-F10)/100</f>
        <v>4346301.6414999999</v>
      </c>
      <c r="G23" s="126">
        <f>+SUM(B23:F23)</f>
        <v>2973141.2069710018</v>
      </c>
      <c r="H23" s="119"/>
      <c r="I23" s="91"/>
    </row>
    <row r="24" spans="1:10" x14ac:dyDescent="0.45">
      <c r="A24" s="96" t="s">
        <v>127</v>
      </c>
      <c r="C24" s="112"/>
      <c r="D24" s="112"/>
      <c r="E24" s="112"/>
      <c r="F24" s="112">
        <v>-4274821.25</v>
      </c>
      <c r="G24" s="126">
        <f>+SUM(B24:F24)</f>
        <v>-4274821.25</v>
      </c>
      <c r="H24" s="119"/>
      <c r="I24" s="91"/>
    </row>
    <row r="25" spans="1:10" x14ac:dyDescent="0.45">
      <c r="C25" s="112"/>
      <c r="D25" s="112"/>
      <c r="E25" s="112"/>
      <c r="F25" s="112"/>
      <c r="G25" s="126"/>
      <c r="H25" s="119"/>
      <c r="I25" s="91"/>
    </row>
    <row r="26" spans="1:10" x14ac:dyDescent="0.45">
      <c r="C26" s="112"/>
      <c r="D26" s="112"/>
      <c r="E26" s="112"/>
      <c r="F26" s="112"/>
      <c r="G26" s="126"/>
      <c r="H26" s="119"/>
      <c r="I26" s="91"/>
    </row>
    <row r="27" spans="1:10" ht="21.75" thickBot="1" x14ac:dyDescent="0.5">
      <c r="C27" s="112"/>
      <c r="D27" s="112"/>
      <c r="E27" s="112"/>
      <c r="F27" s="112"/>
      <c r="G27" s="127">
        <f>SUM(G23:G26)</f>
        <v>-1301680.0430289982</v>
      </c>
      <c r="H27" s="119"/>
      <c r="I27" s="91"/>
    </row>
    <row r="28" spans="1:10" ht="21.75" thickTop="1" x14ac:dyDescent="0.45">
      <c r="C28" s="97"/>
      <c r="H28" s="119"/>
      <c r="I28" s="91"/>
    </row>
    <row r="29" spans="1:10" s="129" customFormat="1" x14ac:dyDescent="0.45">
      <c r="A29" s="128" t="s">
        <v>34</v>
      </c>
      <c r="B29" s="97"/>
      <c r="C29" s="91"/>
      <c r="D29" s="97"/>
      <c r="E29" s="91"/>
      <c r="F29" s="91"/>
      <c r="G29" s="91">
        <v>-2135652.63</v>
      </c>
      <c r="H29" s="119"/>
      <c r="I29" s="91"/>
      <c r="J29" s="91"/>
    </row>
    <row r="30" spans="1:10" s="129" customFormat="1" x14ac:dyDescent="0.45">
      <c r="A30" s="129" t="s">
        <v>101</v>
      </c>
      <c r="B30" s="97"/>
      <c r="C30" s="91"/>
      <c r="D30" s="97"/>
      <c r="E30" s="91"/>
      <c r="F30" s="91"/>
      <c r="G30" s="91">
        <f>+G29-G27</f>
        <v>-833972.5869710017</v>
      </c>
      <c r="H30" s="119"/>
      <c r="I30" s="91"/>
      <c r="J30" s="91"/>
    </row>
    <row r="31" spans="1:10" s="129" customFormat="1" x14ac:dyDescent="0.45">
      <c r="A31" s="129" t="s">
        <v>106</v>
      </c>
      <c r="B31" s="97"/>
      <c r="C31" s="97">
        <f>23544963.08-13000</f>
        <v>23531963.079999998</v>
      </c>
      <c r="D31" s="97"/>
      <c r="E31" s="97"/>
      <c r="F31" s="97"/>
      <c r="G31" s="97"/>
      <c r="H31" s="130"/>
      <c r="I31" s="97"/>
      <c r="J31" s="97"/>
    </row>
    <row r="32" spans="1:10" s="129" customFormat="1" x14ac:dyDescent="0.45">
      <c r="A32" s="129" t="s">
        <v>107</v>
      </c>
      <c r="B32" s="97"/>
      <c r="C32" s="91"/>
      <c r="D32" s="97">
        <f>+C31</f>
        <v>23531963.079999998</v>
      </c>
      <c r="E32" s="91"/>
      <c r="F32" s="91"/>
      <c r="G32" s="91">
        <v>78400</v>
      </c>
      <c r="H32" s="114"/>
      <c r="I32" s="91"/>
      <c r="J32" s="91"/>
    </row>
    <row r="33" spans="1:10" x14ac:dyDescent="0.45">
      <c r="G33" s="94">
        <v>-615.72</v>
      </c>
      <c r="H33" s="119"/>
      <c r="I33" s="91"/>
    </row>
    <row r="34" spans="1:10" x14ac:dyDescent="0.45">
      <c r="G34" s="94">
        <v>781963.74</v>
      </c>
      <c r="H34" s="119"/>
    </row>
    <row r="35" spans="1:10" x14ac:dyDescent="0.45">
      <c r="A35" s="129" t="s">
        <v>102</v>
      </c>
      <c r="G35" s="94">
        <f>SUM(G32:G34)</f>
        <v>859748.02</v>
      </c>
      <c r="H35" s="119"/>
      <c r="I35" s="91"/>
    </row>
    <row r="36" spans="1:10" x14ac:dyDescent="0.45">
      <c r="A36" s="129" t="s">
        <v>104</v>
      </c>
      <c r="C36" s="91">
        <v>22681399.34</v>
      </c>
      <c r="H36" s="119"/>
      <c r="I36" s="91"/>
    </row>
    <row r="37" spans="1:10" x14ac:dyDescent="0.45">
      <c r="A37" s="129" t="s">
        <v>105</v>
      </c>
      <c r="D37" s="97">
        <f>+C36</f>
        <v>22681399.34</v>
      </c>
      <c r="H37" s="119"/>
      <c r="I37" s="91"/>
    </row>
    <row r="38" spans="1:10" x14ac:dyDescent="0.45">
      <c r="A38" s="129"/>
      <c r="H38" s="119"/>
      <c r="I38" s="91"/>
    </row>
    <row r="39" spans="1:10" x14ac:dyDescent="0.45">
      <c r="A39" s="129" t="s">
        <v>120</v>
      </c>
      <c r="H39" s="119"/>
      <c r="I39" s="91"/>
    </row>
    <row r="40" spans="1:10" x14ac:dyDescent="0.45">
      <c r="A40" s="129" t="s">
        <v>121</v>
      </c>
      <c r="C40" s="91">
        <v>1662591.75</v>
      </c>
      <c r="H40" s="119"/>
      <c r="I40" s="91"/>
    </row>
    <row r="41" spans="1:10" s="129" customFormat="1" x14ac:dyDescent="0.45">
      <c r="A41" s="129" t="s">
        <v>122</v>
      </c>
      <c r="B41" s="97"/>
      <c r="C41" s="91"/>
      <c r="D41" s="97">
        <f>+++++++C40</f>
        <v>1662591.75</v>
      </c>
      <c r="E41" s="91"/>
      <c r="F41" s="91"/>
      <c r="G41" s="91"/>
      <c r="H41" s="119"/>
      <c r="I41" s="91"/>
      <c r="J41" s="91"/>
    </row>
    <row r="42" spans="1:10" s="129" customFormat="1" x14ac:dyDescent="0.45">
      <c r="B42" s="97"/>
      <c r="C42" s="91"/>
      <c r="D42" s="97"/>
      <c r="E42" s="91"/>
      <c r="F42" s="91"/>
      <c r="G42" s="91"/>
      <c r="H42" s="119"/>
      <c r="I42" s="91"/>
      <c r="J42" s="91"/>
    </row>
    <row r="43" spans="1:10" s="129" customFormat="1" x14ac:dyDescent="0.45">
      <c r="B43" s="97"/>
      <c r="C43" s="91"/>
      <c r="D43" s="97"/>
      <c r="E43" s="91"/>
      <c r="F43" s="91"/>
      <c r="G43" s="91"/>
      <c r="H43" s="119"/>
      <c r="I43" s="91"/>
      <c r="J43" s="91"/>
    </row>
    <row r="44" spans="1:10" s="129" customFormat="1" x14ac:dyDescent="0.45">
      <c r="A44" s="128" t="s">
        <v>33</v>
      </c>
      <c r="B44" s="97"/>
      <c r="C44" s="91"/>
      <c r="D44" s="97"/>
      <c r="E44" s="91"/>
      <c r="F44" s="91"/>
      <c r="G44" s="91"/>
      <c r="H44" s="119"/>
      <c r="I44" s="91"/>
      <c r="J44" s="91"/>
    </row>
    <row r="45" spans="1:10" s="129" customFormat="1" x14ac:dyDescent="0.45">
      <c r="A45" s="129" t="s">
        <v>103</v>
      </c>
      <c r="B45" s="97"/>
      <c r="C45" s="91">
        <f>+G16+G17</f>
        <v>8142782.1798469992</v>
      </c>
      <c r="D45" s="97"/>
      <c r="E45" s="91"/>
      <c r="F45" s="91"/>
      <c r="G45" s="91"/>
      <c r="H45" s="119"/>
      <c r="I45" s="91"/>
      <c r="J45" s="91"/>
    </row>
    <row r="46" spans="1:10" s="129" customFormat="1" x14ac:dyDescent="0.45">
      <c r="A46" s="129" t="s">
        <v>100</v>
      </c>
      <c r="B46" s="97"/>
      <c r="C46" s="91"/>
      <c r="D46" s="97"/>
      <c r="E46" s="91"/>
      <c r="F46" s="91"/>
      <c r="G46" s="91"/>
      <c r="H46" s="119"/>
      <c r="I46" s="91"/>
      <c r="J46" s="91"/>
    </row>
    <row r="47" spans="1:10" s="129" customFormat="1" x14ac:dyDescent="0.45">
      <c r="A47" s="129" t="s">
        <v>99</v>
      </c>
      <c r="B47" s="97"/>
      <c r="C47" s="91"/>
      <c r="D47" s="97"/>
      <c r="E47" s="91"/>
      <c r="F47" s="91"/>
      <c r="G47" s="91"/>
      <c r="H47" s="114"/>
      <c r="I47" s="91"/>
      <c r="J47" s="91"/>
    </row>
    <row r="48" spans="1:10" s="129" customFormat="1" x14ac:dyDescent="0.45">
      <c r="B48" s="97"/>
      <c r="C48" s="91"/>
      <c r="D48" s="97"/>
      <c r="E48" s="91"/>
      <c r="F48" s="91"/>
      <c r="G48" s="91"/>
      <c r="H48" s="119"/>
      <c r="I48" s="91"/>
      <c r="J48" s="91"/>
    </row>
    <row r="49" spans="1:10" s="129" customFormat="1" x14ac:dyDescent="0.45">
      <c r="B49" s="97"/>
      <c r="C49" s="91"/>
      <c r="D49" s="97"/>
      <c r="E49" s="91"/>
      <c r="F49" s="91"/>
      <c r="G49" s="91"/>
      <c r="H49" s="119"/>
      <c r="I49" s="91"/>
      <c r="J49" s="91"/>
    </row>
    <row r="50" spans="1:10" s="129" customFormat="1" x14ac:dyDescent="0.45">
      <c r="B50" s="97"/>
      <c r="C50" s="91"/>
      <c r="D50" s="97"/>
      <c r="E50" s="91"/>
      <c r="F50" s="91"/>
      <c r="G50" s="91"/>
      <c r="H50" s="119"/>
      <c r="I50" s="91"/>
      <c r="J50" s="91"/>
    </row>
    <row r="51" spans="1:10" s="129" customFormat="1" x14ac:dyDescent="0.45">
      <c r="B51" s="97"/>
      <c r="C51" s="97"/>
      <c r="D51" s="97"/>
      <c r="E51" s="97"/>
      <c r="F51" s="97"/>
      <c r="G51" s="97"/>
      <c r="H51" s="119"/>
      <c r="I51" s="97"/>
      <c r="J51" s="97"/>
    </row>
    <row r="52" spans="1:10" s="129" customFormat="1" x14ac:dyDescent="0.45">
      <c r="B52" s="97"/>
      <c r="C52" s="91"/>
      <c r="D52" s="97"/>
      <c r="E52" s="91"/>
      <c r="F52" s="91"/>
      <c r="G52" s="91"/>
      <c r="H52" s="119"/>
      <c r="I52" s="91"/>
      <c r="J52" s="91"/>
    </row>
    <row r="53" spans="1:10" s="129" customFormat="1" x14ac:dyDescent="0.45">
      <c r="B53" s="91"/>
      <c r="C53" s="91"/>
      <c r="D53" s="97"/>
      <c r="E53" s="91"/>
      <c r="F53" s="91"/>
      <c r="G53" s="91"/>
      <c r="H53" s="119"/>
      <c r="I53" s="91"/>
      <c r="J53" s="91"/>
    </row>
    <row r="54" spans="1:10" s="129" customFormat="1" x14ac:dyDescent="0.45">
      <c r="B54" s="97"/>
      <c r="C54" s="91"/>
      <c r="D54" s="97"/>
      <c r="E54" s="91"/>
      <c r="F54" s="91"/>
      <c r="G54" s="91"/>
      <c r="H54" s="119"/>
      <c r="I54" s="91"/>
      <c r="J54" s="91"/>
    </row>
    <row r="55" spans="1:10" s="129" customFormat="1" x14ac:dyDescent="0.45">
      <c r="B55" s="97"/>
      <c r="C55" s="97"/>
      <c r="D55" s="97"/>
      <c r="E55" s="97"/>
      <c r="F55" s="97"/>
      <c r="G55" s="97"/>
      <c r="H55" s="119"/>
      <c r="I55" s="91"/>
      <c r="J55" s="97"/>
    </row>
    <row r="56" spans="1:10" s="129" customFormat="1" x14ac:dyDescent="0.45">
      <c r="B56" s="97"/>
      <c r="C56" s="97"/>
      <c r="D56" s="97"/>
      <c r="E56" s="97"/>
      <c r="F56" s="97"/>
      <c r="G56" s="97"/>
      <c r="H56" s="119"/>
      <c r="I56" s="91"/>
      <c r="J56" s="97"/>
    </row>
    <row r="57" spans="1:10" s="129" customFormat="1" x14ac:dyDescent="0.45">
      <c r="B57" s="97"/>
      <c r="C57" s="91"/>
      <c r="D57" s="97"/>
      <c r="E57" s="91"/>
      <c r="F57" s="91"/>
      <c r="G57" s="91"/>
      <c r="H57" s="119"/>
      <c r="I57" s="91"/>
      <c r="J57" s="91"/>
    </row>
    <row r="58" spans="1:10" s="129" customFormat="1" x14ac:dyDescent="0.45">
      <c r="A58" s="131"/>
      <c r="B58" s="97"/>
      <c r="C58" s="91"/>
      <c r="D58" s="97"/>
      <c r="E58" s="91"/>
      <c r="F58" s="91"/>
      <c r="G58" s="91"/>
      <c r="H58" s="114"/>
      <c r="I58" s="91"/>
      <c r="J58" s="91"/>
    </row>
    <row r="59" spans="1:10" s="129" customFormat="1" x14ac:dyDescent="0.45">
      <c r="A59" s="132"/>
      <c r="B59" s="97"/>
      <c r="C59" s="91"/>
      <c r="D59" s="97"/>
      <c r="E59" s="91"/>
      <c r="F59" s="91"/>
      <c r="G59" s="91"/>
      <c r="H59" s="119"/>
      <c r="I59" s="91"/>
      <c r="J59" s="91"/>
    </row>
    <row r="60" spans="1:10" s="129" customFormat="1" x14ac:dyDescent="0.45">
      <c r="A60" s="132"/>
      <c r="B60" s="97"/>
      <c r="C60" s="91"/>
      <c r="D60" s="97"/>
      <c r="E60" s="91"/>
      <c r="F60" s="91"/>
      <c r="G60" s="91"/>
      <c r="H60" s="119"/>
      <c r="I60" s="91"/>
      <c r="J60" s="91"/>
    </row>
    <row r="61" spans="1:10" s="129" customFormat="1" x14ac:dyDescent="0.45">
      <c r="A61" s="132"/>
      <c r="B61" s="97"/>
      <c r="C61" s="91"/>
      <c r="D61" s="97"/>
      <c r="E61" s="91"/>
      <c r="F61" s="91"/>
      <c r="G61" s="91"/>
      <c r="H61" s="119"/>
      <c r="I61" s="91"/>
      <c r="J61" s="91"/>
    </row>
    <row r="62" spans="1:10" s="129" customFormat="1" x14ac:dyDescent="0.45">
      <c r="B62" s="97"/>
      <c r="C62" s="91"/>
      <c r="D62" s="97"/>
      <c r="E62" s="91"/>
      <c r="F62" s="91"/>
      <c r="G62" s="91"/>
      <c r="H62" s="119"/>
      <c r="I62" s="91"/>
      <c r="J62" s="91"/>
    </row>
    <row r="63" spans="1:10" s="129" customFormat="1" x14ac:dyDescent="0.45">
      <c r="B63" s="133"/>
      <c r="C63" s="91"/>
      <c r="D63" s="97"/>
      <c r="E63" s="91"/>
      <c r="F63" s="91"/>
      <c r="G63" s="91"/>
      <c r="H63" s="119"/>
      <c r="I63" s="91"/>
      <c r="J63" s="91"/>
    </row>
    <row r="64" spans="1:10" s="129" customFormat="1" x14ac:dyDescent="0.45">
      <c r="B64" s="97"/>
      <c r="C64" s="91"/>
      <c r="D64" s="97"/>
      <c r="E64" s="91"/>
      <c r="F64" s="91"/>
      <c r="G64" s="91"/>
      <c r="H64" s="119"/>
      <c r="I64" s="91"/>
      <c r="J64" s="91"/>
    </row>
    <row r="65" spans="1:10" s="129" customFormat="1" x14ac:dyDescent="0.45">
      <c r="B65" s="97"/>
      <c r="C65" s="97"/>
      <c r="D65" s="97"/>
      <c r="E65" s="97"/>
      <c r="F65" s="97"/>
      <c r="G65" s="97"/>
      <c r="H65" s="119"/>
      <c r="I65" s="91"/>
      <c r="J65" s="97"/>
    </row>
    <row r="66" spans="1:10" s="129" customFormat="1" x14ac:dyDescent="0.45">
      <c r="B66" s="97"/>
      <c r="C66" s="97"/>
      <c r="D66" s="97"/>
      <c r="E66" s="97"/>
      <c r="F66" s="97"/>
      <c r="G66" s="97"/>
      <c r="H66" s="119"/>
      <c r="I66" s="91"/>
      <c r="J66" s="91"/>
    </row>
    <row r="67" spans="1:10" s="129" customFormat="1" x14ac:dyDescent="0.45">
      <c r="B67" s="97"/>
      <c r="C67" s="97"/>
      <c r="D67" s="97"/>
      <c r="E67" s="97"/>
      <c r="F67" s="97"/>
      <c r="G67" s="97"/>
      <c r="H67" s="119"/>
      <c r="I67" s="91"/>
      <c r="J67" s="97"/>
    </row>
    <row r="68" spans="1:10" s="129" customFormat="1" x14ac:dyDescent="0.45">
      <c r="B68" s="97"/>
      <c r="C68" s="97"/>
      <c r="D68" s="97"/>
      <c r="E68" s="97"/>
      <c r="F68" s="97"/>
      <c r="G68" s="97"/>
      <c r="H68" s="119"/>
      <c r="I68" s="91"/>
      <c r="J68" s="97"/>
    </row>
    <row r="69" spans="1:10" s="129" customFormat="1" x14ac:dyDescent="0.45">
      <c r="B69" s="97"/>
      <c r="C69" s="91"/>
      <c r="D69" s="97"/>
      <c r="E69" s="91"/>
      <c r="F69" s="91"/>
      <c r="G69" s="91"/>
      <c r="H69" s="119"/>
      <c r="I69" s="91"/>
      <c r="J69" s="91"/>
    </row>
    <row r="70" spans="1:10" s="129" customFormat="1" x14ac:dyDescent="0.45">
      <c r="B70" s="134"/>
      <c r="C70" s="134"/>
      <c r="D70" s="134"/>
      <c r="E70" s="134"/>
      <c r="F70" s="134"/>
      <c r="G70" s="134"/>
      <c r="H70" s="135"/>
      <c r="I70" s="136"/>
      <c r="J70" s="134"/>
    </row>
    <row r="71" spans="1:10" s="129" customFormat="1" x14ac:dyDescent="0.45">
      <c r="A71" s="137"/>
      <c r="B71" s="137"/>
      <c r="C71" s="91"/>
      <c r="D71" s="97"/>
      <c r="E71" s="91"/>
      <c r="F71" s="91"/>
      <c r="G71" s="91"/>
      <c r="H71" s="119"/>
      <c r="I71" s="91"/>
      <c r="J71" s="91"/>
    </row>
    <row r="72" spans="1:10" s="129" customFormat="1" x14ac:dyDescent="0.45">
      <c r="A72" s="138"/>
      <c r="B72" s="138"/>
      <c r="C72" s="91"/>
      <c r="D72" s="97"/>
      <c r="E72" s="91"/>
      <c r="F72" s="91"/>
      <c r="G72" s="91"/>
      <c r="H72" s="119"/>
      <c r="I72" s="91"/>
      <c r="J72" s="91"/>
    </row>
    <row r="73" spans="1:10" s="129" customFormat="1" x14ac:dyDescent="0.45">
      <c r="A73" s="138"/>
      <c r="B73" s="138"/>
      <c r="C73" s="91"/>
      <c r="D73" s="97"/>
      <c r="E73" s="91"/>
      <c r="F73" s="91"/>
      <c r="G73" s="91"/>
      <c r="H73" s="119"/>
      <c r="I73" s="91"/>
      <c r="J73" s="91"/>
    </row>
    <row r="74" spans="1:10" s="129" customFormat="1" ht="18" customHeight="1" x14ac:dyDescent="0.45">
      <c r="A74" s="138"/>
      <c r="B74" s="138"/>
      <c r="C74" s="91"/>
      <c r="D74" s="97"/>
      <c r="E74" s="91"/>
      <c r="F74" s="91"/>
      <c r="G74" s="91"/>
      <c r="H74" s="119"/>
      <c r="I74" s="91"/>
      <c r="J74" s="91"/>
    </row>
    <row r="75" spans="1:10" s="129" customFormat="1" x14ac:dyDescent="0.45">
      <c r="B75" s="97"/>
      <c r="C75" s="91"/>
      <c r="D75" s="97"/>
      <c r="E75" s="91"/>
      <c r="F75" s="91"/>
      <c r="G75" s="91"/>
      <c r="H75" s="119"/>
      <c r="I75" s="91"/>
      <c r="J75" s="91"/>
    </row>
    <row r="76" spans="1:10" s="129" customFormat="1" x14ac:dyDescent="0.45">
      <c r="B76" s="97"/>
      <c r="C76" s="91"/>
      <c r="D76" s="97"/>
      <c r="E76" s="97"/>
      <c r="F76" s="97"/>
      <c r="G76" s="91"/>
      <c r="H76" s="114"/>
      <c r="I76" s="91"/>
      <c r="J76" s="91"/>
    </row>
    <row r="77" spans="1:10" s="129" customFormat="1" x14ac:dyDescent="0.45">
      <c r="B77" s="97"/>
      <c r="C77" s="91"/>
      <c r="D77" s="97"/>
      <c r="E77" s="97"/>
      <c r="F77" s="97"/>
      <c r="G77" s="91"/>
      <c r="H77" s="119"/>
      <c r="I77" s="91"/>
      <c r="J77" s="91"/>
    </row>
    <row r="78" spans="1:10" s="129" customFormat="1" x14ac:dyDescent="0.45">
      <c r="B78" s="97"/>
      <c r="C78" s="91"/>
      <c r="D78" s="97"/>
      <c r="E78" s="97"/>
      <c r="F78" s="97"/>
      <c r="G78" s="91"/>
      <c r="H78" s="119"/>
      <c r="I78" s="91"/>
      <c r="J78" s="91"/>
    </row>
    <row r="79" spans="1:10" s="129" customFormat="1" x14ac:dyDescent="0.45">
      <c r="B79" s="97"/>
      <c r="C79" s="91"/>
      <c r="D79" s="97"/>
      <c r="E79" s="97"/>
      <c r="F79" s="97"/>
      <c r="G79" s="91"/>
      <c r="H79" s="114"/>
      <c r="I79" s="91"/>
      <c r="J79" s="91"/>
    </row>
    <row r="80" spans="1:10" s="129" customFormat="1" x14ac:dyDescent="0.45">
      <c r="B80" s="97"/>
      <c r="C80" s="91"/>
      <c r="D80" s="97"/>
      <c r="E80" s="97"/>
      <c r="F80" s="97"/>
      <c r="G80" s="91"/>
      <c r="H80" s="119"/>
      <c r="I80" s="91"/>
      <c r="J80" s="91"/>
    </row>
    <row r="81" spans="2:10" s="129" customFormat="1" x14ac:dyDescent="0.45">
      <c r="B81" s="97"/>
      <c r="C81" s="97"/>
      <c r="D81" s="97"/>
      <c r="E81" s="97"/>
      <c r="F81" s="97"/>
      <c r="G81" s="97"/>
      <c r="H81" s="119"/>
      <c r="I81" s="91"/>
      <c r="J81" s="91"/>
    </row>
    <row r="82" spans="2:10" s="129" customFormat="1" x14ac:dyDescent="0.45">
      <c r="B82" s="97"/>
      <c r="C82" s="91"/>
      <c r="D82" s="97"/>
      <c r="E82" s="97"/>
      <c r="F82" s="97"/>
      <c r="G82" s="97"/>
      <c r="H82" s="119"/>
      <c r="I82" s="91"/>
      <c r="J82" s="91"/>
    </row>
    <row r="83" spans="2:10" s="129" customFormat="1" x14ac:dyDescent="0.45">
      <c r="B83" s="97"/>
      <c r="C83" s="97"/>
      <c r="D83" s="97"/>
      <c r="E83" s="97"/>
      <c r="F83" s="97"/>
      <c r="G83" s="91"/>
      <c r="H83" s="119"/>
      <c r="I83" s="91"/>
      <c r="J83" s="91"/>
    </row>
    <row r="84" spans="2:10" s="129" customFormat="1" x14ac:dyDescent="0.45">
      <c r="B84" s="97"/>
      <c r="C84" s="97"/>
      <c r="D84" s="97"/>
      <c r="E84" s="97"/>
      <c r="F84" s="97"/>
      <c r="G84" s="91"/>
      <c r="H84" s="114"/>
      <c r="I84" s="91"/>
      <c r="J84" s="91"/>
    </row>
    <row r="85" spans="2:10" s="129" customFormat="1" x14ac:dyDescent="0.45">
      <c r="B85" s="97"/>
      <c r="C85" s="97"/>
      <c r="D85" s="97"/>
      <c r="E85" s="97"/>
      <c r="F85" s="97"/>
      <c r="G85" s="91"/>
      <c r="H85" s="119"/>
      <c r="I85" s="91"/>
      <c r="J85" s="91"/>
    </row>
    <row r="86" spans="2:10" s="129" customFormat="1" x14ac:dyDescent="0.45">
      <c r="B86" s="97"/>
      <c r="C86" s="97"/>
      <c r="D86" s="97"/>
      <c r="E86" s="97"/>
      <c r="F86" s="97"/>
      <c r="G86" s="91"/>
      <c r="H86" s="119"/>
      <c r="I86" s="91"/>
      <c r="J86" s="91"/>
    </row>
    <row r="87" spans="2:10" s="129" customFormat="1" x14ac:dyDescent="0.45">
      <c r="B87" s="97"/>
      <c r="C87" s="97"/>
      <c r="D87" s="97"/>
      <c r="E87" s="97"/>
      <c r="F87" s="97"/>
      <c r="G87" s="97"/>
      <c r="H87" s="119"/>
      <c r="I87" s="91"/>
      <c r="J87" s="91"/>
    </row>
    <row r="88" spans="2:10" s="129" customFormat="1" x14ac:dyDescent="0.45">
      <c r="B88" s="97"/>
      <c r="C88" s="97"/>
      <c r="D88" s="97"/>
      <c r="E88" s="97"/>
      <c r="F88" s="97"/>
      <c r="G88" s="97"/>
      <c r="H88" s="119"/>
      <c r="I88" s="91"/>
      <c r="J88" s="91"/>
    </row>
    <row r="89" spans="2:10" s="129" customFormat="1" x14ac:dyDescent="0.45">
      <c r="B89" s="97"/>
      <c r="C89" s="97"/>
      <c r="D89" s="97"/>
      <c r="E89" s="97"/>
      <c r="F89" s="97"/>
      <c r="G89" s="97"/>
      <c r="H89" s="119"/>
      <c r="I89" s="91"/>
      <c r="J89" s="91"/>
    </row>
    <row r="90" spans="2:10" s="129" customFormat="1" x14ac:dyDescent="0.45">
      <c r="B90" s="97"/>
      <c r="C90" s="97"/>
      <c r="D90" s="97"/>
      <c r="E90" s="97"/>
      <c r="F90" s="97"/>
      <c r="G90" s="91"/>
      <c r="H90" s="119"/>
      <c r="I90" s="91"/>
      <c r="J90" s="91"/>
    </row>
    <row r="91" spans="2:10" s="129" customFormat="1" x14ac:dyDescent="0.45">
      <c r="B91" s="133"/>
      <c r="C91" s="133"/>
      <c r="D91" s="133"/>
      <c r="E91" s="133"/>
      <c r="F91" s="133"/>
      <c r="G91" s="91"/>
      <c r="H91" s="119"/>
      <c r="I91" s="91"/>
      <c r="J91" s="91"/>
    </row>
    <row r="92" spans="2:10" s="129" customFormat="1" x14ac:dyDescent="0.45">
      <c r="B92" s="137"/>
      <c r="C92" s="137"/>
      <c r="D92" s="137"/>
      <c r="E92" s="137"/>
      <c r="F92" s="137"/>
      <c r="G92" s="137"/>
      <c r="H92" s="119"/>
      <c r="I92" s="91"/>
      <c r="J92" s="91"/>
    </row>
    <row r="93" spans="2:10" s="129" customFormat="1" x14ac:dyDescent="0.45">
      <c r="B93" s="133"/>
      <c r="C93" s="133"/>
      <c r="D93" s="133"/>
      <c r="E93" s="133"/>
      <c r="F93" s="133"/>
      <c r="G93" s="133"/>
      <c r="H93" s="119"/>
      <c r="I93" s="91"/>
      <c r="J93" s="91"/>
    </row>
    <row r="94" spans="2:10" s="129" customFormat="1" x14ac:dyDescent="0.45">
      <c r="B94" s="97"/>
      <c r="C94" s="97"/>
      <c r="D94" s="97"/>
      <c r="E94" s="97"/>
      <c r="F94" s="97"/>
      <c r="G94" s="97"/>
      <c r="H94" s="119"/>
      <c r="I94" s="91"/>
      <c r="J94" s="91"/>
    </row>
    <row r="95" spans="2:10" s="129" customFormat="1" ht="9.9499999999999993" customHeight="1" x14ac:dyDescent="0.45">
      <c r="B95" s="97"/>
      <c r="C95" s="97"/>
      <c r="D95" s="97"/>
      <c r="E95" s="97"/>
      <c r="F95" s="97"/>
      <c r="G95" s="97"/>
      <c r="H95" s="119"/>
      <c r="I95" s="91"/>
      <c r="J95" s="91"/>
    </row>
    <row r="96" spans="2:10" s="129" customFormat="1" x14ac:dyDescent="0.45">
      <c r="B96" s="97"/>
      <c r="C96" s="91"/>
      <c r="D96" s="97"/>
      <c r="E96" s="91"/>
      <c r="F96" s="91"/>
      <c r="G96" s="91"/>
      <c r="H96" s="119"/>
      <c r="I96" s="91"/>
      <c r="J96" s="91"/>
    </row>
    <row r="97" spans="2:10" s="129" customFormat="1" x14ac:dyDescent="0.45">
      <c r="B97" s="97"/>
      <c r="C97" s="91"/>
      <c r="D97" s="97"/>
      <c r="E97" s="91"/>
      <c r="F97" s="91"/>
      <c r="G97" s="91"/>
      <c r="H97" s="119"/>
      <c r="I97" s="91"/>
      <c r="J97" s="91"/>
    </row>
    <row r="98" spans="2:10" s="129" customFormat="1" x14ac:dyDescent="0.45">
      <c r="B98" s="97"/>
      <c r="C98" s="91"/>
      <c r="D98" s="97"/>
      <c r="E98" s="91"/>
      <c r="F98" s="91"/>
      <c r="G98" s="91"/>
      <c r="H98" s="119"/>
      <c r="I98" s="91"/>
      <c r="J98" s="91"/>
    </row>
    <row r="99" spans="2:10" s="129" customFormat="1" x14ac:dyDescent="0.45">
      <c r="B99" s="97"/>
      <c r="C99" s="91"/>
      <c r="D99" s="97"/>
      <c r="E99" s="91"/>
      <c r="F99" s="91"/>
      <c r="G99" s="91"/>
      <c r="H99" s="119"/>
      <c r="I99" s="91"/>
      <c r="J99" s="91"/>
    </row>
    <row r="100" spans="2:10" s="129" customFormat="1" x14ac:dyDescent="0.45">
      <c r="B100" s="97"/>
      <c r="C100" s="91"/>
      <c r="D100" s="97"/>
      <c r="E100" s="91"/>
      <c r="F100" s="91"/>
      <c r="G100" s="91"/>
      <c r="H100" s="119"/>
      <c r="I100" s="91"/>
      <c r="J100" s="91"/>
    </row>
    <row r="101" spans="2:10" s="129" customFormat="1" x14ac:dyDescent="0.45">
      <c r="B101" s="97"/>
      <c r="C101" s="91"/>
      <c r="D101" s="97"/>
      <c r="E101" s="91"/>
      <c r="F101" s="91"/>
      <c r="G101" s="91"/>
      <c r="H101" s="119"/>
      <c r="I101" s="91"/>
      <c r="J101" s="91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4" customWidth="1"/>
    <col min="3" max="3" width="36.7109375" style="4" customWidth="1"/>
    <col min="4" max="5" width="12.7109375" style="5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5" customWidth="1"/>
    <col min="11" max="11" width="15.28515625" style="61" customWidth="1"/>
    <col min="12" max="13" width="12.7109375" style="55" customWidth="1"/>
    <col min="14" max="14" width="2.28515625" style="4" customWidth="1"/>
    <col min="15" max="16" width="12.7109375" style="4" customWidth="1"/>
    <col min="17" max="16384" width="9.140625" style="4"/>
  </cols>
  <sheetData>
    <row r="1" spans="1:15" x14ac:dyDescent="0.4">
      <c r="A1" s="52" t="s">
        <v>52</v>
      </c>
      <c r="B1" s="26"/>
      <c r="C1" s="26"/>
      <c r="D1" s="26"/>
      <c r="E1" s="26"/>
      <c r="G1" s="49"/>
      <c r="H1" s="50"/>
      <c r="I1" s="50"/>
    </row>
    <row r="2" spans="1:15" ht="21.75" customHeight="1" x14ac:dyDescent="0.4">
      <c r="A2" s="52" t="s">
        <v>70</v>
      </c>
      <c r="B2" s="26"/>
      <c r="C2" s="26"/>
      <c r="D2" s="26"/>
      <c r="E2" s="26"/>
    </row>
    <row r="3" spans="1:15" ht="21.75" customHeight="1" x14ac:dyDescent="0.4">
      <c r="A3" s="47" t="s">
        <v>69</v>
      </c>
      <c r="B3" s="26"/>
      <c r="C3" s="26"/>
      <c r="D3" s="26"/>
      <c r="E3" s="26"/>
      <c r="K3" s="229" t="s">
        <v>71</v>
      </c>
      <c r="L3" s="229"/>
    </row>
    <row r="4" spans="1:15" s="43" customFormat="1" ht="18" customHeight="1" x14ac:dyDescent="0.4">
      <c r="D4" s="53" t="s">
        <v>62</v>
      </c>
      <c r="E4" s="53" t="s">
        <v>63</v>
      </c>
      <c r="F4" s="56" t="s">
        <v>64</v>
      </c>
      <c r="G4" s="57" t="s">
        <v>65</v>
      </c>
      <c r="H4" s="56" t="s">
        <v>66</v>
      </c>
      <c r="I4" s="56" t="s">
        <v>67</v>
      </c>
      <c r="J4" s="56" t="s">
        <v>27</v>
      </c>
      <c r="K4" s="62" t="s">
        <v>72</v>
      </c>
      <c r="L4" s="58" t="s">
        <v>73</v>
      </c>
      <c r="M4" s="54" t="s">
        <v>33</v>
      </c>
    </row>
    <row r="5" spans="1:15" x14ac:dyDescent="0.4">
      <c r="A5" s="7" t="s">
        <v>8</v>
      </c>
      <c r="B5" s="7"/>
      <c r="C5" s="7"/>
      <c r="D5" s="9"/>
      <c r="E5" s="9"/>
      <c r="L5" s="1"/>
    </row>
    <row r="6" spans="1:15" x14ac:dyDescent="0.4">
      <c r="A6" s="7"/>
      <c r="B6" s="7" t="s">
        <v>17</v>
      </c>
      <c r="C6" s="7"/>
      <c r="D6" s="5">
        <v>316767129.02999997</v>
      </c>
      <c r="E6" s="9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5">
        <f>+I6+H6+G6+F6+E6+D6</f>
        <v>341190247.58999997</v>
      </c>
      <c r="L6" s="1"/>
      <c r="M6" s="55">
        <f>+L6+J6</f>
        <v>341190247.58999997</v>
      </c>
    </row>
    <row r="7" spans="1:15" x14ac:dyDescent="0.4">
      <c r="A7" s="7"/>
      <c r="B7" s="7" t="s">
        <v>53</v>
      </c>
      <c r="C7" s="7"/>
      <c r="D7" s="5">
        <v>40216527.100000001</v>
      </c>
      <c r="E7" s="9"/>
      <c r="J7" s="55">
        <f t="shared" ref="J7:J18" si="0">+I7+H7+G7+F7+E7+D7</f>
        <v>40216527.100000001</v>
      </c>
      <c r="L7" s="1"/>
      <c r="M7" s="55">
        <f t="shared" ref="M7:M78" si="1">+L7+J7</f>
        <v>40216527.100000001</v>
      </c>
    </row>
    <row r="8" spans="1:15" x14ac:dyDescent="0.4">
      <c r="A8" s="7"/>
      <c r="B8" s="7" t="s">
        <v>74</v>
      </c>
      <c r="C8" s="7"/>
      <c r="D8" s="9">
        <v>6241052.1100000003</v>
      </c>
      <c r="E8" s="9"/>
      <c r="H8" s="1">
        <v>0</v>
      </c>
      <c r="J8" s="55">
        <f t="shared" si="0"/>
        <v>6241052.1100000003</v>
      </c>
      <c r="K8" s="65" t="s">
        <v>84</v>
      </c>
      <c r="L8" s="1">
        <v>-4636052.1100000003</v>
      </c>
      <c r="M8" s="55">
        <f t="shared" si="1"/>
        <v>1605000</v>
      </c>
    </row>
    <row r="9" spans="1:15" x14ac:dyDescent="0.4">
      <c r="A9" s="7"/>
      <c r="B9" s="7" t="s">
        <v>75</v>
      </c>
      <c r="C9" s="7"/>
      <c r="D9" s="9">
        <v>5331982.99</v>
      </c>
      <c r="E9" s="9"/>
      <c r="H9" s="1">
        <v>0</v>
      </c>
      <c r="J9" s="55">
        <f t="shared" si="0"/>
        <v>5331982.99</v>
      </c>
      <c r="K9" s="60"/>
      <c r="L9" s="1"/>
      <c r="M9" s="55">
        <f t="shared" si="1"/>
        <v>5331982.99</v>
      </c>
    </row>
    <row r="10" spans="1:15" x14ac:dyDescent="0.4">
      <c r="A10" s="7"/>
      <c r="B10" s="7" t="s">
        <v>113</v>
      </c>
      <c r="C10" s="7"/>
      <c r="D10" s="9"/>
      <c r="E10" s="9"/>
      <c r="H10" s="76">
        <f>4274821.25+348965</f>
        <v>4623786.25</v>
      </c>
      <c r="J10" s="55">
        <f t="shared" si="0"/>
        <v>4623786.25</v>
      </c>
      <c r="K10" s="60" t="s">
        <v>130</v>
      </c>
      <c r="L10" s="1">
        <v>-4274821.25</v>
      </c>
      <c r="M10" s="55">
        <f t="shared" si="1"/>
        <v>348965</v>
      </c>
    </row>
    <row r="11" spans="1:15" x14ac:dyDescent="0.4">
      <c r="A11" s="7"/>
      <c r="B11" s="7" t="s">
        <v>76</v>
      </c>
      <c r="C11" s="7"/>
      <c r="D11" s="9">
        <v>90000</v>
      </c>
      <c r="E11" s="9"/>
      <c r="H11" s="1">
        <v>0</v>
      </c>
      <c r="J11" s="55">
        <f t="shared" si="0"/>
        <v>90000</v>
      </c>
      <c r="K11" s="65" t="s">
        <v>85</v>
      </c>
      <c r="L11" s="1">
        <v>-90000</v>
      </c>
      <c r="M11" s="55">
        <f t="shared" si="1"/>
        <v>0</v>
      </c>
    </row>
    <row r="12" spans="1:15" x14ac:dyDescent="0.4">
      <c r="A12" s="7"/>
      <c r="B12" s="7" t="s">
        <v>77</v>
      </c>
      <c r="C12" s="7"/>
      <c r="D12" s="9">
        <v>150000</v>
      </c>
      <c r="E12" s="55"/>
      <c r="H12" s="1">
        <v>0</v>
      </c>
      <c r="J12" s="55">
        <f t="shared" si="0"/>
        <v>150000</v>
      </c>
      <c r="K12" s="60"/>
      <c r="L12" s="1"/>
      <c r="M12" s="55">
        <f t="shared" si="1"/>
        <v>150000</v>
      </c>
    </row>
    <row r="13" spans="1:15" x14ac:dyDescent="0.4">
      <c r="A13" s="7"/>
      <c r="B13" s="7" t="s">
        <v>32</v>
      </c>
      <c r="C13" s="7"/>
      <c r="D13" s="9">
        <v>0</v>
      </c>
      <c r="E13" s="9"/>
      <c r="F13" s="2"/>
      <c r="H13" s="1">
        <v>0</v>
      </c>
      <c r="J13" s="55">
        <f t="shared" si="0"/>
        <v>0</v>
      </c>
      <c r="K13" s="60"/>
      <c r="L13" s="1"/>
      <c r="M13" s="55">
        <f t="shared" si="1"/>
        <v>0</v>
      </c>
    </row>
    <row r="14" spans="1:15" x14ac:dyDescent="0.4">
      <c r="A14" s="7"/>
      <c r="B14" s="7" t="s">
        <v>44</v>
      </c>
      <c r="C14" s="7"/>
      <c r="D14" s="9"/>
      <c r="E14" s="9"/>
      <c r="F14" s="2"/>
      <c r="H14" s="1">
        <v>0</v>
      </c>
      <c r="J14" s="55">
        <f t="shared" si="0"/>
        <v>0</v>
      </c>
      <c r="K14" s="60"/>
      <c r="L14" s="1"/>
      <c r="M14" s="55">
        <f t="shared" si="1"/>
        <v>0</v>
      </c>
    </row>
    <row r="15" spans="1:15" x14ac:dyDescent="0.4">
      <c r="A15" s="7"/>
      <c r="B15" s="7"/>
      <c r="C15" s="7" t="s">
        <v>1</v>
      </c>
      <c r="D15" s="9">
        <v>1345040.03</v>
      </c>
      <c r="E15" s="9">
        <v>25395.599999999999</v>
      </c>
      <c r="F15" s="2"/>
      <c r="H15" s="1">
        <v>63528.73</v>
      </c>
      <c r="J15" s="55">
        <f t="shared" si="0"/>
        <v>1433964.36</v>
      </c>
      <c r="K15" s="60"/>
      <c r="L15" s="1"/>
      <c r="M15" s="55">
        <f t="shared" si="1"/>
        <v>1433964.36</v>
      </c>
      <c r="O15" s="3">
        <f>1433964.36-M15</f>
        <v>0</v>
      </c>
    </row>
    <row r="16" spans="1:15" x14ac:dyDescent="0.4">
      <c r="A16" s="7"/>
      <c r="B16" s="7"/>
      <c r="C16" s="7" t="s">
        <v>28</v>
      </c>
      <c r="D16" s="9">
        <v>485562.25</v>
      </c>
      <c r="E16" s="9">
        <f>114906.28-92587.07</f>
        <v>22319.209999999992</v>
      </c>
      <c r="F16" s="2">
        <v>6340.21</v>
      </c>
      <c r="G16" s="2">
        <v>11953.42</v>
      </c>
      <c r="H16" s="1">
        <v>0</v>
      </c>
      <c r="J16" s="55">
        <f t="shared" si="0"/>
        <v>526175.09</v>
      </c>
      <c r="K16" s="60"/>
      <c r="L16" s="1"/>
      <c r="M16" s="55">
        <f t="shared" si="1"/>
        <v>526175.09</v>
      </c>
    </row>
    <row r="17" spans="1:15" x14ac:dyDescent="0.4">
      <c r="A17" s="7"/>
      <c r="B17" s="7"/>
      <c r="C17" s="7" t="s">
        <v>10</v>
      </c>
      <c r="D17" s="9"/>
      <c r="E17" s="9">
        <v>15664.65</v>
      </c>
      <c r="F17" s="2">
        <v>47620.07</v>
      </c>
      <c r="G17" s="2">
        <v>1929.28</v>
      </c>
      <c r="H17" s="1">
        <v>0</v>
      </c>
      <c r="J17" s="55">
        <f t="shared" si="0"/>
        <v>65214</v>
      </c>
      <c r="K17" s="60"/>
      <c r="L17" s="1"/>
      <c r="M17" s="55">
        <f t="shared" si="1"/>
        <v>65214</v>
      </c>
    </row>
    <row r="18" spans="1:15" x14ac:dyDescent="0.4">
      <c r="A18" s="7"/>
      <c r="B18" s="7"/>
      <c r="C18" s="7" t="s">
        <v>43</v>
      </c>
      <c r="D18" s="9">
        <f>529964.28-D16</f>
        <v>44402.030000000028</v>
      </c>
      <c r="E18" s="9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5">
        <f t="shared" si="0"/>
        <v>168983.59000000005</v>
      </c>
      <c r="K18" s="60"/>
      <c r="L18" s="83">
        <v>615.72</v>
      </c>
      <c r="M18" s="55">
        <f t="shared" si="1"/>
        <v>169599.31000000006</v>
      </c>
      <c r="O18" s="3">
        <f>+M18+M17+M16-760988.4</f>
        <v>0</v>
      </c>
    </row>
    <row r="19" spans="1:15" x14ac:dyDescent="0.4">
      <c r="A19" s="7"/>
      <c r="B19" s="7"/>
      <c r="C19" s="7" t="s">
        <v>18</v>
      </c>
      <c r="D19" s="14">
        <f t="shared" ref="D19:J19" si="2">SUM(D6:D18)</f>
        <v>370671695.53999996</v>
      </c>
      <c r="E19" s="14">
        <f t="shared" si="2"/>
        <v>19281423.650000002</v>
      </c>
      <c r="F19" s="14">
        <f t="shared" si="2"/>
        <v>109686.79999999999</v>
      </c>
      <c r="G19" s="14">
        <f t="shared" si="2"/>
        <v>72381.78</v>
      </c>
      <c r="H19" s="14">
        <f t="shared" si="2"/>
        <v>8758347.5</v>
      </c>
      <c r="I19" s="14">
        <f t="shared" si="2"/>
        <v>1144397.81</v>
      </c>
      <c r="J19" s="14">
        <f t="shared" si="2"/>
        <v>400037933.07999998</v>
      </c>
      <c r="K19" s="63"/>
      <c r="L19" s="16"/>
      <c r="M19" s="14">
        <f>SUM(M6:M18)</f>
        <v>391037675.44</v>
      </c>
    </row>
    <row r="20" spans="1:15" x14ac:dyDescent="0.4">
      <c r="A20" s="7" t="s">
        <v>45</v>
      </c>
      <c r="B20" s="7"/>
      <c r="C20" s="7"/>
      <c r="D20" s="9"/>
      <c r="E20" s="9"/>
      <c r="J20" s="1"/>
      <c r="K20" s="65"/>
      <c r="L20" s="1"/>
    </row>
    <row r="21" spans="1:15" x14ac:dyDescent="0.4">
      <c r="A21" s="7"/>
      <c r="B21" s="7" t="s">
        <v>54</v>
      </c>
      <c r="C21" s="7"/>
      <c r="D21" s="51">
        <v>56419678</v>
      </c>
      <c r="E21" s="9"/>
      <c r="H21" s="1">
        <v>0</v>
      </c>
      <c r="J21" s="55">
        <f t="shared" ref="J21:J27" si="3">+I21+H21+G21+F21+E21+D21</f>
        <v>56419678</v>
      </c>
      <c r="K21" s="65" t="s">
        <v>87</v>
      </c>
      <c r="L21" s="1">
        <v>-56419678</v>
      </c>
      <c r="M21" s="55">
        <f>+J21+L21</f>
        <v>0</v>
      </c>
    </row>
    <row r="22" spans="1:15" x14ac:dyDescent="0.4">
      <c r="A22" s="7"/>
      <c r="B22" s="7" t="s">
        <v>112</v>
      </c>
      <c r="C22" s="7"/>
      <c r="D22" s="51">
        <v>-22681399.34</v>
      </c>
      <c r="E22" s="9"/>
      <c r="J22" s="55">
        <f t="shared" si="3"/>
        <v>-22681399.34</v>
      </c>
      <c r="K22" s="65" t="s">
        <v>109</v>
      </c>
      <c r="L22" s="1">
        <v>22681399.34</v>
      </c>
      <c r="M22" s="55">
        <f>+J22+L22</f>
        <v>0</v>
      </c>
    </row>
    <row r="23" spans="1:15" x14ac:dyDescent="0.4">
      <c r="A23" s="7"/>
      <c r="B23" s="7" t="s">
        <v>55</v>
      </c>
      <c r="C23" s="7"/>
      <c r="D23" s="9">
        <v>5315259</v>
      </c>
      <c r="E23" s="9"/>
      <c r="G23" s="2">
        <v>24900100</v>
      </c>
      <c r="H23" s="1">
        <v>0</v>
      </c>
      <c r="J23" s="55">
        <f t="shared" si="3"/>
        <v>30215359</v>
      </c>
      <c r="K23" s="60"/>
      <c r="L23" s="1"/>
      <c r="M23" s="55">
        <f t="shared" si="1"/>
        <v>30215359</v>
      </c>
    </row>
    <row r="24" spans="1:15" x14ac:dyDescent="0.4">
      <c r="A24" s="7"/>
      <c r="B24" s="7" t="s">
        <v>81</v>
      </c>
      <c r="C24" s="7"/>
      <c r="D24" s="5">
        <v>4125330.22</v>
      </c>
      <c r="E24" s="9">
        <v>4036.43</v>
      </c>
      <c r="F24" s="1">
        <v>137242.54</v>
      </c>
      <c r="H24" s="1">
        <v>0</v>
      </c>
      <c r="J24" s="55">
        <f t="shared" si="3"/>
        <v>4266609.1900000004</v>
      </c>
      <c r="K24" s="60"/>
      <c r="M24" s="55">
        <f>+J24+L24</f>
        <v>4266609.1900000004</v>
      </c>
    </row>
    <row r="25" spans="1:15" x14ac:dyDescent="0.4">
      <c r="A25" s="7"/>
      <c r="B25" s="7" t="s">
        <v>46</v>
      </c>
      <c r="C25" s="7"/>
      <c r="D25" s="9"/>
      <c r="E25" s="9"/>
      <c r="H25" s="1">
        <v>0</v>
      </c>
      <c r="J25" s="55">
        <f t="shared" si="3"/>
        <v>0</v>
      </c>
      <c r="K25" s="60"/>
      <c r="L25" s="1"/>
      <c r="M25" s="55">
        <f t="shared" si="1"/>
        <v>0</v>
      </c>
    </row>
    <row r="26" spans="1:15" x14ac:dyDescent="0.4">
      <c r="A26" s="7"/>
      <c r="B26" s="7"/>
      <c r="C26" s="7" t="s">
        <v>31</v>
      </c>
      <c r="D26" s="9">
        <f>1301692.81+0.01</f>
        <v>1301692.82</v>
      </c>
      <c r="E26" s="9">
        <v>452453.91</v>
      </c>
      <c r="F26" s="2">
        <v>39.15</v>
      </c>
      <c r="G26" s="2">
        <v>61.14</v>
      </c>
      <c r="H26" s="1">
        <v>0</v>
      </c>
      <c r="J26" s="55">
        <f t="shared" si="3"/>
        <v>1754247.02</v>
      </c>
      <c r="K26" s="60"/>
      <c r="L26" s="1"/>
      <c r="M26" s="55">
        <f t="shared" si="1"/>
        <v>1754247.02</v>
      </c>
      <c r="O26" s="3">
        <f>1754247.02-M26</f>
        <v>0</v>
      </c>
    </row>
    <row r="27" spans="1:15" x14ac:dyDescent="0.4">
      <c r="A27" s="7"/>
      <c r="B27" s="7"/>
      <c r="C27" s="7" t="s">
        <v>80</v>
      </c>
      <c r="D27" s="5">
        <v>1494433.31</v>
      </c>
      <c r="E27" s="9">
        <v>0</v>
      </c>
      <c r="H27" s="1">
        <v>0</v>
      </c>
      <c r="J27" s="55">
        <f t="shared" si="3"/>
        <v>1494433.31</v>
      </c>
      <c r="K27" s="60"/>
      <c r="L27" s="1"/>
      <c r="M27" s="55">
        <f t="shared" si="1"/>
        <v>1494433.31</v>
      </c>
    </row>
    <row r="28" spans="1:15" x14ac:dyDescent="0.4">
      <c r="A28" s="7"/>
      <c r="B28" s="7"/>
      <c r="C28" s="7" t="s">
        <v>19</v>
      </c>
      <c r="D28" s="14">
        <f t="shared" ref="D28:J28" si="4">SUM(D21:D27)</f>
        <v>45974994.009999998</v>
      </c>
      <c r="E28" s="14">
        <f t="shared" si="4"/>
        <v>456490.33999999997</v>
      </c>
      <c r="F28" s="14">
        <f t="shared" si="4"/>
        <v>137281.69</v>
      </c>
      <c r="G28" s="14">
        <f t="shared" si="4"/>
        <v>24900161.140000001</v>
      </c>
      <c r="H28" s="14">
        <f t="shared" si="4"/>
        <v>0</v>
      </c>
      <c r="I28" s="14">
        <f t="shared" si="4"/>
        <v>0</v>
      </c>
      <c r="J28" s="14">
        <f t="shared" si="4"/>
        <v>71468927.179999992</v>
      </c>
      <c r="K28" s="60"/>
      <c r="L28" s="1"/>
      <c r="M28" s="14">
        <f>SUM(M21:M27)</f>
        <v>37730648.520000003</v>
      </c>
    </row>
    <row r="29" spans="1:15" ht="18.75" thickBot="1" x14ac:dyDescent="0.45">
      <c r="A29" s="7" t="s">
        <v>47</v>
      </c>
      <c r="B29" s="7"/>
      <c r="C29" s="7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K29" s="60"/>
      <c r="L29" s="1"/>
      <c r="M29" s="19">
        <f>+M28+M19</f>
        <v>428768323.95999998</v>
      </c>
    </row>
    <row r="30" spans="1:15" ht="18.75" thickTop="1" x14ac:dyDescent="0.4">
      <c r="A30" s="7" t="s">
        <v>48</v>
      </c>
      <c r="B30" s="7"/>
      <c r="C30" s="7"/>
      <c r="D30" s="9"/>
      <c r="E30" s="9"/>
      <c r="J30" s="1"/>
      <c r="K30" s="60"/>
      <c r="L30" s="1"/>
    </row>
    <row r="31" spans="1:15" x14ac:dyDescent="0.4">
      <c r="A31" s="7"/>
      <c r="B31" s="7" t="s">
        <v>78</v>
      </c>
      <c r="C31" s="7"/>
      <c r="D31" s="9"/>
      <c r="E31" s="9"/>
      <c r="J31" s="55">
        <f t="shared" ref="J31:J39" si="6">+I31+H31+G31+F31+E31+D31</f>
        <v>0</v>
      </c>
      <c r="K31" s="60"/>
      <c r="L31" s="1"/>
      <c r="M31" s="55">
        <f t="shared" si="1"/>
        <v>0</v>
      </c>
    </row>
    <row r="32" spans="1:15" x14ac:dyDescent="0.4">
      <c r="A32" s="7"/>
      <c r="B32" s="7" t="s">
        <v>82</v>
      </c>
      <c r="C32" s="7"/>
      <c r="D32" s="9"/>
      <c r="E32" s="75">
        <v>-85088.98</v>
      </c>
      <c r="F32" s="76">
        <v>-2456075.3199999998</v>
      </c>
      <c r="G32" s="77">
        <v>-2094887.81</v>
      </c>
      <c r="J32" s="55">
        <f t="shared" si="6"/>
        <v>-4636052.1100000003</v>
      </c>
      <c r="K32" s="60"/>
      <c r="L32" s="1">
        <v>4636052.1100000003</v>
      </c>
      <c r="M32" s="55">
        <f t="shared" si="1"/>
        <v>0</v>
      </c>
    </row>
    <row r="33" spans="1:15" x14ac:dyDescent="0.4">
      <c r="A33" s="7"/>
      <c r="B33" s="7" t="s">
        <v>83</v>
      </c>
      <c r="C33" s="7"/>
      <c r="D33" s="9"/>
      <c r="E33" s="9"/>
      <c r="J33" s="55">
        <f t="shared" si="6"/>
        <v>0</v>
      </c>
      <c r="K33" s="60"/>
      <c r="L33" s="1"/>
      <c r="M33" s="55">
        <f t="shared" si="1"/>
        <v>0</v>
      </c>
    </row>
    <row r="34" spans="1:15" x14ac:dyDescent="0.4">
      <c r="A34" s="7"/>
      <c r="B34" s="7" t="s">
        <v>49</v>
      </c>
      <c r="C34" s="7"/>
      <c r="D34" s="9"/>
      <c r="E34" s="9"/>
      <c r="J34" s="55">
        <f t="shared" si="6"/>
        <v>0</v>
      </c>
      <c r="K34" s="60"/>
      <c r="L34" s="1"/>
      <c r="M34" s="55">
        <f t="shared" si="1"/>
        <v>0</v>
      </c>
    </row>
    <row r="35" spans="1:15" x14ac:dyDescent="0.4">
      <c r="A35" s="7"/>
      <c r="B35" s="7"/>
      <c r="C35" s="7" t="s">
        <v>88</v>
      </c>
      <c r="D35" s="9">
        <v>-7229144</v>
      </c>
      <c r="E35" s="9"/>
      <c r="J35" s="55">
        <f t="shared" si="6"/>
        <v>-7229144</v>
      </c>
      <c r="K35" s="60"/>
      <c r="L35" s="1"/>
      <c r="M35" s="55">
        <f t="shared" si="1"/>
        <v>-7229144</v>
      </c>
    </row>
    <row r="36" spans="1:15" x14ac:dyDescent="0.4">
      <c r="A36" s="7"/>
      <c r="B36" s="7"/>
      <c r="C36" s="7" t="s">
        <v>11</v>
      </c>
      <c r="D36" s="9">
        <v>-2880868.96</v>
      </c>
      <c r="E36" s="9">
        <f>-371365.7-1002625+92587.07-27500</f>
        <v>-1308903.6299999999</v>
      </c>
      <c r="F36" s="1">
        <f>-401885-27500</f>
        <v>-429385</v>
      </c>
      <c r="G36" s="2">
        <v>-27500</v>
      </c>
      <c r="J36" s="55">
        <f>+I36+H36+G36+F36+E36+D36</f>
        <v>-4646657.59</v>
      </c>
      <c r="K36" s="65" t="s">
        <v>85</v>
      </c>
      <c r="L36" s="1">
        <v>90000</v>
      </c>
      <c r="M36" s="55">
        <f t="shared" si="1"/>
        <v>-4556657.59</v>
      </c>
    </row>
    <row r="37" spans="1:15" x14ac:dyDescent="0.4">
      <c r="A37" s="7"/>
      <c r="B37" s="7"/>
      <c r="C37" s="7" t="s">
        <v>26</v>
      </c>
      <c r="D37" s="9"/>
      <c r="E37" s="9">
        <v>0</v>
      </c>
      <c r="F37" s="1">
        <v>0</v>
      </c>
      <c r="G37" s="2">
        <v>0</v>
      </c>
      <c r="J37" s="55">
        <f t="shared" si="6"/>
        <v>0</v>
      </c>
      <c r="K37" s="60"/>
      <c r="L37" s="1"/>
      <c r="M37" s="55">
        <f t="shared" si="1"/>
        <v>0</v>
      </c>
    </row>
    <row r="38" spans="1:15" x14ac:dyDescent="0.4">
      <c r="A38" s="7"/>
      <c r="B38" s="7"/>
      <c r="C38" s="7" t="s">
        <v>12</v>
      </c>
      <c r="D38" s="9">
        <f>-13204842.35-0.01</f>
        <v>-13204842.359999999</v>
      </c>
      <c r="E38" s="9">
        <f>-4614429.72+150730.5--300787.5</f>
        <v>-4162911.7199999997</v>
      </c>
      <c r="F38" s="1">
        <v>0</v>
      </c>
      <c r="G38" s="2">
        <v>0</v>
      </c>
      <c r="J38" s="55">
        <f t="shared" si="6"/>
        <v>-17367754.079999998</v>
      </c>
      <c r="K38" s="60"/>
      <c r="L38" s="1"/>
      <c r="M38" s="55">
        <f t="shared" si="1"/>
        <v>-17367754.079999998</v>
      </c>
    </row>
    <row r="39" spans="1:15" x14ac:dyDescent="0.4">
      <c r="A39" s="7"/>
      <c r="B39" s="7"/>
      <c r="C39" s="7" t="s">
        <v>43</v>
      </c>
      <c r="D39" s="5">
        <v>-5637669.7599999998</v>
      </c>
      <c r="E39" s="9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5">
        <f t="shared" si="6"/>
        <v>-5983125.4899999993</v>
      </c>
      <c r="K39" s="60"/>
      <c r="L39" s="1"/>
      <c r="M39" s="55">
        <f t="shared" si="1"/>
        <v>-5983125.4899999993</v>
      </c>
      <c r="O39" s="3">
        <f>5983125.49+M39</f>
        <v>0</v>
      </c>
    </row>
    <row r="40" spans="1:15" x14ac:dyDescent="0.4">
      <c r="A40" s="7"/>
      <c r="B40" s="7"/>
      <c r="C40" s="7" t="s">
        <v>20</v>
      </c>
      <c r="D40" s="14">
        <f>SUM(D31:D39)</f>
        <v>-28952525.079999998</v>
      </c>
      <c r="E40" s="14">
        <f>SUM(E31:E39)</f>
        <v>-5692798.9299999997</v>
      </c>
      <c r="F40" s="14">
        <f t="shared" ref="F40:M40" si="7">SUM(F31:F39)</f>
        <v>-3000239.17</v>
      </c>
      <c r="G40" s="14">
        <f t="shared" si="7"/>
        <v>-2217170.09</v>
      </c>
      <c r="H40" s="14">
        <f t="shared" si="7"/>
        <v>0</v>
      </c>
      <c r="I40" s="14">
        <f t="shared" si="7"/>
        <v>0</v>
      </c>
      <c r="J40" s="14">
        <f t="shared" si="7"/>
        <v>-39862733.270000003</v>
      </c>
      <c r="K40" s="60"/>
      <c r="L40" s="16"/>
      <c r="M40" s="14">
        <f t="shared" si="7"/>
        <v>-35136681.159999996</v>
      </c>
    </row>
    <row r="41" spans="1:15" x14ac:dyDescent="0.4">
      <c r="A41" s="7" t="s">
        <v>50</v>
      </c>
      <c r="B41" s="7"/>
      <c r="C41" s="7"/>
      <c r="D41" s="9"/>
      <c r="E41" s="9"/>
      <c r="J41" s="1"/>
      <c r="K41" s="60"/>
      <c r="L41" s="1"/>
    </row>
    <row r="42" spans="1:15" x14ac:dyDescent="0.4">
      <c r="A42" s="7"/>
      <c r="B42" s="7" t="s">
        <v>0</v>
      </c>
      <c r="C42" s="7"/>
      <c r="D42" s="9"/>
      <c r="E42" s="55"/>
      <c r="H42" s="1">
        <v>0</v>
      </c>
      <c r="J42" s="55">
        <f>+I42+H42+G42+F42+E42+D42</f>
        <v>0</v>
      </c>
      <c r="K42" s="60"/>
      <c r="L42" s="1"/>
      <c r="M42" s="55">
        <f t="shared" si="1"/>
        <v>0</v>
      </c>
    </row>
    <row r="43" spans="1:15" x14ac:dyDescent="0.4">
      <c r="A43" s="7"/>
      <c r="B43" s="7"/>
      <c r="C43" s="7" t="s">
        <v>43</v>
      </c>
      <c r="D43" s="51">
        <v>-1662591.75</v>
      </c>
      <c r="E43" s="9"/>
      <c r="H43" s="1">
        <v>0</v>
      </c>
      <c r="J43" s="55">
        <f>+I43+H43+G43+F43+E43+D43</f>
        <v>-1662591.75</v>
      </c>
      <c r="K43" s="65" t="s">
        <v>110</v>
      </c>
      <c r="L43" s="1">
        <v>1662591.75</v>
      </c>
      <c r="M43" s="69">
        <f t="shared" si="1"/>
        <v>0</v>
      </c>
    </row>
    <row r="44" spans="1:15" x14ac:dyDescent="0.4">
      <c r="A44" s="7"/>
      <c r="B44" s="7"/>
      <c r="C44" s="7" t="s">
        <v>21</v>
      </c>
      <c r="D44" s="14">
        <f t="shared" ref="D44:J44" si="8">SUM(D42:D43)</f>
        <v>-1662591.75</v>
      </c>
      <c r="E44" s="14">
        <f t="shared" si="8"/>
        <v>0</v>
      </c>
      <c r="F44" s="14">
        <f t="shared" si="8"/>
        <v>0</v>
      </c>
      <c r="G44" s="14">
        <f t="shared" si="8"/>
        <v>0</v>
      </c>
      <c r="H44" s="14">
        <f t="shared" si="8"/>
        <v>0</v>
      </c>
      <c r="I44" s="14">
        <f t="shared" si="8"/>
        <v>0</v>
      </c>
      <c r="J44" s="14">
        <f t="shared" si="8"/>
        <v>-1662591.75</v>
      </c>
      <c r="K44" s="60"/>
      <c r="L44" s="1"/>
      <c r="M44" s="14">
        <f>SUM(M42:M43)</f>
        <v>0</v>
      </c>
    </row>
    <row r="45" spans="1:15" ht="18.75" thickBot="1" x14ac:dyDescent="0.45">
      <c r="A45" s="7"/>
      <c r="B45" s="7"/>
      <c r="C45" s="7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K45" s="60"/>
      <c r="L45" s="1"/>
      <c r="M45" s="19">
        <f>+M44+M40</f>
        <v>-35136681.159999996</v>
      </c>
    </row>
    <row r="46" spans="1:15" ht="18.75" thickTop="1" x14ac:dyDescent="0.4">
      <c r="A46" s="7" t="s">
        <v>51</v>
      </c>
      <c r="B46" s="7"/>
      <c r="C46" s="7"/>
      <c r="D46" s="9"/>
      <c r="E46" s="9"/>
      <c r="J46" s="1"/>
      <c r="K46" s="60"/>
      <c r="L46" s="1"/>
    </row>
    <row r="47" spans="1:15" x14ac:dyDescent="0.4">
      <c r="A47" s="7"/>
      <c r="B47" s="7" t="s">
        <v>68</v>
      </c>
      <c r="C47" s="45"/>
      <c r="D47" s="9">
        <v>-362267781.5</v>
      </c>
      <c r="E47" s="9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5">
        <f t="shared" ref="J47:J58" si="10">+I47+H47+G47+F47+E47+D47</f>
        <v>-429199781.5</v>
      </c>
      <c r="K47" s="65" t="s">
        <v>87</v>
      </c>
      <c r="L47" s="1">
        <v>56419678</v>
      </c>
      <c r="M47" s="55">
        <f>+L47+J47+L48</f>
        <v>-362267781.5</v>
      </c>
    </row>
    <row r="48" spans="1:15" x14ac:dyDescent="0.4">
      <c r="A48" s="7"/>
      <c r="B48" s="7" t="s">
        <v>23</v>
      </c>
      <c r="C48" s="42"/>
      <c r="D48" s="9"/>
      <c r="E48" s="9"/>
      <c r="J48" s="55">
        <f t="shared" si="10"/>
        <v>0</v>
      </c>
      <c r="K48" s="65" t="s">
        <v>111</v>
      </c>
      <c r="L48" s="1">
        <f>425+5001000+4294+4326700+1179903</f>
        <v>10512322</v>
      </c>
    </row>
    <row r="49" spans="1:16" x14ac:dyDescent="0.4">
      <c r="A49" s="7"/>
      <c r="B49" s="7" t="s">
        <v>56</v>
      </c>
      <c r="C49" s="42"/>
      <c r="D49" s="9">
        <f>-28397546.2+67118444.17</f>
        <v>38720897.969999999</v>
      </c>
      <c r="E49" s="9"/>
      <c r="J49" s="55">
        <f t="shared" si="10"/>
        <v>38720897.969999999</v>
      </c>
      <c r="K49" s="60"/>
      <c r="L49" s="1"/>
      <c r="M49" s="55">
        <f t="shared" si="1"/>
        <v>38720897.969999999</v>
      </c>
    </row>
    <row r="50" spans="1:16" x14ac:dyDescent="0.4">
      <c r="A50" s="7"/>
      <c r="B50" s="7" t="s">
        <v>57</v>
      </c>
      <c r="C50" s="42"/>
      <c r="D50" s="9"/>
      <c r="E50" s="9"/>
      <c r="H50" s="1">
        <v>111655.85</v>
      </c>
      <c r="I50" s="1">
        <v>38737.33</v>
      </c>
      <c r="J50" s="55">
        <f t="shared" si="10"/>
        <v>150393.18</v>
      </c>
      <c r="K50" s="60"/>
      <c r="L50" s="1"/>
      <c r="M50" s="55">
        <f t="shared" si="1"/>
        <v>150393.18</v>
      </c>
      <c r="O50" s="3">
        <v>228793.18</v>
      </c>
      <c r="P50" s="3">
        <f>+O50-M50</f>
        <v>78400</v>
      </c>
    </row>
    <row r="51" spans="1:16" x14ac:dyDescent="0.4">
      <c r="A51" s="7"/>
      <c r="B51" s="7" t="s">
        <v>108</v>
      </c>
      <c r="C51" s="42"/>
      <c r="D51" s="51">
        <f>-22681399.34+23463363.08</f>
        <v>781963.73999999836</v>
      </c>
      <c r="E51" s="9"/>
      <c r="J51" s="55">
        <f t="shared" si="10"/>
        <v>781963.73999999836</v>
      </c>
      <c r="K51" s="72" t="s">
        <v>109</v>
      </c>
      <c r="L51" s="71">
        <f>-1250375-21431024.34</f>
        <v>-22681399.34</v>
      </c>
      <c r="M51" s="70">
        <f>+J51+L51+L52+L53</f>
        <v>0</v>
      </c>
    </row>
    <row r="52" spans="1:16" x14ac:dyDescent="0.4">
      <c r="A52" s="7"/>
      <c r="B52" s="7"/>
      <c r="C52" s="42"/>
      <c r="D52" s="9"/>
      <c r="E52" s="9"/>
      <c r="K52" s="78" t="s">
        <v>110</v>
      </c>
      <c r="L52" s="79"/>
    </row>
    <row r="53" spans="1:16" x14ac:dyDescent="0.4">
      <c r="A53" s="7"/>
      <c r="B53" s="7"/>
      <c r="C53" s="42"/>
      <c r="D53" s="9"/>
      <c r="E53" s="9"/>
      <c r="K53" s="73" t="s">
        <v>114</v>
      </c>
      <c r="L53" s="74">
        <v>21899435.600000001</v>
      </c>
    </row>
    <row r="54" spans="1:16" x14ac:dyDescent="0.4">
      <c r="A54" s="7"/>
      <c r="B54" s="7" t="s">
        <v>58</v>
      </c>
      <c r="C54" s="7"/>
      <c r="D54" s="9"/>
      <c r="E54" s="9"/>
      <c r="J54" s="55">
        <f t="shared" si="10"/>
        <v>0</v>
      </c>
      <c r="K54" s="60"/>
      <c r="L54" s="1"/>
      <c r="M54" s="55">
        <f t="shared" si="1"/>
        <v>0</v>
      </c>
    </row>
    <row r="55" spans="1:16" x14ac:dyDescent="0.4">
      <c r="A55" s="7"/>
      <c r="B55" s="7"/>
      <c r="C55" s="7" t="s">
        <v>35</v>
      </c>
      <c r="D55" s="10">
        <v>-2962180.66</v>
      </c>
      <c r="E55" s="10"/>
      <c r="J55" s="55">
        <f t="shared" si="10"/>
        <v>-2962180.66</v>
      </c>
      <c r="K55" s="60"/>
      <c r="L55" s="1"/>
      <c r="M55" s="55">
        <f t="shared" si="1"/>
        <v>-2962180.66</v>
      </c>
    </row>
    <row r="56" spans="1:16" x14ac:dyDescent="0.4">
      <c r="A56" s="7"/>
      <c r="B56" s="7"/>
      <c r="C56" s="7" t="s">
        <v>116</v>
      </c>
      <c r="D56" s="84">
        <f>+D89</f>
        <v>-4023039.7100000009</v>
      </c>
      <c r="E56" s="10">
        <f>+E89</f>
        <v>-9262083.7899999991</v>
      </c>
      <c r="F56" s="10">
        <f>+F89</f>
        <v>1090678.93</v>
      </c>
      <c r="G56" s="10">
        <f>+G89</f>
        <v>1566605.83</v>
      </c>
      <c r="H56" s="10">
        <f>H89</f>
        <v>-40003.350000000006</v>
      </c>
      <c r="I56" s="10">
        <f>+I89</f>
        <v>-271135.14</v>
      </c>
      <c r="J56" s="70">
        <f t="shared" si="10"/>
        <v>-10938977.23</v>
      </c>
      <c r="K56" s="61" t="s">
        <v>124</v>
      </c>
      <c r="L56" s="55">
        <f>+L89</f>
        <v>-525007.16</v>
      </c>
      <c r="M56" s="87">
        <f>+L56+J56</f>
        <v>-11463984.390000001</v>
      </c>
    </row>
    <row r="57" spans="1:16" x14ac:dyDescent="0.4">
      <c r="A57" s="7"/>
      <c r="B57" s="7"/>
      <c r="C57" s="7"/>
      <c r="D57" s="10"/>
      <c r="E57" s="10"/>
      <c r="F57" s="10"/>
      <c r="G57" s="10"/>
      <c r="H57" s="10"/>
      <c r="I57" s="66"/>
      <c r="J57" s="1"/>
      <c r="K57" s="72" t="s">
        <v>114</v>
      </c>
      <c r="L57" s="67">
        <f>-(+E58+F58+G58+H58+I58)</f>
        <v>-29747581.820000004</v>
      </c>
    </row>
    <row r="58" spans="1:16" x14ac:dyDescent="0.4">
      <c r="A58" s="7"/>
      <c r="B58" s="7"/>
      <c r="C58" s="7" t="s">
        <v>115</v>
      </c>
      <c r="D58" s="85">
        <v>-56281432.560000002</v>
      </c>
      <c r="E58" s="23">
        <f>-533031.27</f>
        <v>-533031.27</v>
      </c>
      <c r="F58" s="54">
        <f>11662591.75</f>
        <v>11662591.75</v>
      </c>
      <c r="G58" s="59">
        <f>20184627.17-G56</f>
        <v>18618021.340000004</v>
      </c>
      <c r="H58" s="54">
        <v>0</v>
      </c>
      <c r="I58" s="54">
        <v>0</v>
      </c>
      <c r="J58" s="70">
        <f t="shared" si="10"/>
        <v>-26533850.739999998</v>
      </c>
      <c r="K58" s="60"/>
      <c r="L58" s="32"/>
      <c r="M58" s="86">
        <f>+L58+J58+L57</f>
        <v>-56281432.560000002</v>
      </c>
    </row>
    <row r="59" spans="1:16" x14ac:dyDescent="0.4">
      <c r="A59" s="7"/>
      <c r="B59" s="7"/>
      <c r="C59" s="7" t="s">
        <v>36</v>
      </c>
      <c r="D59" s="9">
        <f>SUM(D47:D58)</f>
        <v>-386031572.71999997</v>
      </c>
      <c r="E59" s="9">
        <f t="shared" ref="E59:J59" si="11">SUM(E47:E58)</f>
        <v>-14045115.059999999</v>
      </c>
      <c r="F59" s="9">
        <f t="shared" si="11"/>
        <v>2753270.6799999997</v>
      </c>
      <c r="G59" s="9">
        <f t="shared" si="11"/>
        <v>-22755372.829999998</v>
      </c>
      <c r="H59" s="9">
        <f t="shared" si="11"/>
        <v>-8758347.5</v>
      </c>
      <c r="I59" s="9">
        <f t="shared" si="11"/>
        <v>-1144397.81</v>
      </c>
      <c r="J59" s="9">
        <f t="shared" si="11"/>
        <v>-429981535.24000001</v>
      </c>
      <c r="K59" s="60"/>
      <c r="L59" s="1"/>
      <c r="M59" s="9">
        <f>SUM(M47:M58)</f>
        <v>-394104087.95999998</v>
      </c>
    </row>
    <row r="60" spans="1:16" x14ac:dyDescent="0.4">
      <c r="A60" s="7"/>
      <c r="B60" s="7" t="s">
        <v>2</v>
      </c>
      <c r="C60" s="7"/>
      <c r="D60" s="16"/>
      <c r="E60" s="16"/>
      <c r="F60" s="16"/>
      <c r="G60" s="16"/>
      <c r="H60" s="16"/>
      <c r="I60" s="16"/>
      <c r="J60" s="16"/>
      <c r="K60" s="65" t="s">
        <v>111</v>
      </c>
      <c r="L60" s="1">
        <f>-L48</f>
        <v>-10512322</v>
      </c>
      <c r="M60" s="55">
        <f>+J60+L60+L61+L65+L64+L63+L62</f>
        <v>472445.15999999968</v>
      </c>
    </row>
    <row r="61" spans="1:16" x14ac:dyDescent="0.4">
      <c r="A61" s="7"/>
      <c r="B61" s="7"/>
      <c r="C61" s="7"/>
      <c r="D61" s="23"/>
      <c r="E61" s="23"/>
      <c r="F61" s="23"/>
      <c r="G61" s="23"/>
      <c r="H61" s="23"/>
      <c r="I61" s="23"/>
      <c r="J61" s="23"/>
      <c r="K61" s="78" t="s">
        <v>117</v>
      </c>
      <c r="L61" s="1">
        <v>7848146.2199999997</v>
      </c>
    </row>
    <row r="62" spans="1:16" x14ac:dyDescent="0.4">
      <c r="A62" s="7"/>
      <c r="B62" s="7"/>
      <c r="C62" s="7"/>
      <c r="D62" s="16"/>
      <c r="E62" s="16"/>
      <c r="F62" s="16"/>
      <c r="G62" s="16"/>
      <c r="H62" s="16"/>
      <c r="I62" s="16"/>
      <c r="J62" s="16"/>
      <c r="K62" s="65" t="str">
        <f>+K43</f>
        <v>5)AJE ประมาณการชาดทุน</v>
      </c>
      <c r="L62" s="1">
        <f>-L43</f>
        <v>-1662591.75</v>
      </c>
    </row>
    <row r="63" spans="1:16" x14ac:dyDescent="0.4">
      <c r="A63" s="7"/>
      <c r="B63" s="7"/>
      <c r="C63" s="7"/>
      <c r="D63" s="16"/>
      <c r="E63" s="16"/>
      <c r="F63" s="16"/>
      <c r="G63" s="16"/>
      <c r="H63" s="16"/>
      <c r="I63" s="16"/>
      <c r="J63" s="16"/>
      <c r="K63" s="60" t="s">
        <v>130</v>
      </c>
      <c r="L63" s="1">
        <f>-L10</f>
        <v>4274821.25</v>
      </c>
    </row>
    <row r="64" spans="1:16" x14ac:dyDescent="0.4">
      <c r="A64" s="7"/>
      <c r="B64" s="7"/>
      <c r="C64" s="7"/>
      <c r="D64" s="16"/>
      <c r="E64" s="16"/>
      <c r="F64" s="16"/>
      <c r="G64" s="16"/>
      <c r="H64" s="16"/>
      <c r="I64" s="16"/>
      <c r="J64" s="16"/>
      <c r="K64" s="78"/>
      <c r="L64" s="1">
        <f>-L18</f>
        <v>-615.72</v>
      </c>
    </row>
    <row r="65" spans="1:15" x14ac:dyDescent="0.4">
      <c r="A65" s="7"/>
      <c r="B65" s="7"/>
      <c r="C65" s="7" t="s">
        <v>24</v>
      </c>
      <c r="D65" s="9">
        <f t="shared" ref="D65:J65" si="12">+D60+D59</f>
        <v>-386031572.71999997</v>
      </c>
      <c r="E65" s="9">
        <f t="shared" si="12"/>
        <v>-14045115.059999999</v>
      </c>
      <c r="F65" s="9">
        <f t="shared" si="12"/>
        <v>2753270.6799999997</v>
      </c>
      <c r="G65" s="9">
        <f t="shared" si="12"/>
        <v>-22755372.829999998</v>
      </c>
      <c r="H65" s="9">
        <f t="shared" si="12"/>
        <v>-8758347.5</v>
      </c>
      <c r="I65" s="9">
        <f t="shared" si="12"/>
        <v>-1144397.81</v>
      </c>
      <c r="J65" s="9">
        <f t="shared" si="12"/>
        <v>-429981535.24000001</v>
      </c>
      <c r="K65" s="68" t="s">
        <v>119</v>
      </c>
      <c r="L65" s="1">
        <f>-L88</f>
        <v>525007.16</v>
      </c>
      <c r="M65" s="9">
        <f>+M60+M59</f>
        <v>-393631642.79999995</v>
      </c>
    </row>
    <row r="66" spans="1:15" ht="18.75" thickBot="1" x14ac:dyDescent="0.45">
      <c r="A66" s="7" t="s">
        <v>38</v>
      </c>
      <c r="B66" s="7"/>
      <c r="C66" s="7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L66" s="1"/>
      <c r="M66" s="19">
        <f>+M65+M45</f>
        <v>-428768323.95999992</v>
      </c>
    </row>
    <row r="67" spans="1:15" ht="18.75" thickTop="1" x14ac:dyDescent="0.4">
      <c r="A67" s="7"/>
      <c r="B67" s="7"/>
      <c r="C67" s="7"/>
      <c r="D67" s="16">
        <f t="shared" ref="D67:J67" si="14">+D66+D29</f>
        <v>0</v>
      </c>
      <c r="E67" s="46">
        <f t="shared" si="14"/>
        <v>0</v>
      </c>
      <c r="F67" s="46">
        <f t="shared" si="14"/>
        <v>-2.3283064365386963E-10</v>
      </c>
      <c r="G67" s="46">
        <f t="shared" si="14"/>
        <v>0</v>
      </c>
      <c r="H67" s="46">
        <f t="shared" si="14"/>
        <v>0</v>
      </c>
      <c r="I67" s="46">
        <f t="shared" si="14"/>
        <v>0</v>
      </c>
      <c r="J67" s="46">
        <f t="shared" si="14"/>
        <v>0</v>
      </c>
      <c r="K67" s="64" t="s">
        <v>79</v>
      </c>
      <c r="L67" s="48">
        <f>SUM(L6:L66)</f>
        <v>0</v>
      </c>
      <c r="M67" s="46">
        <f>+M66+M29</f>
        <v>0</v>
      </c>
    </row>
    <row r="68" spans="1:15" x14ac:dyDescent="0.4">
      <c r="A68" s="7"/>
      <c r="B68" s="7"/>
      <c r="C68" s="15"/>
      <c r="D68" s="8"/>
      <c r="E68" s="8"/>
      <c r="J68" s="1"/>
      <c r="K68" s="60"/>
      <c r="L68" s="1"/>
    </row>
    <row r="69" spans="1:15" ht="18" customHeight="1" x14ac:dyDescent="0.4">
      <c r="A69" s="52" t="s">
        <v>3</v>
      </c>
      <c r="B69" s="52"/>
      <c r="C69" s="52"/>
      <c r="D69" s="52"/>
      <c r="E69" s="52"/>
      <c r="J69" s="1"/>
      <c r="K69" s="60"/>
      <c r="L69" s="1"/>
    </row>
    <row r="70" spans="1:15" x14ac:dyDescent="0.4">
      <c r="A70" s="7" t="s">
        <v>39</v>
      </c>
      <c r="B70" s="7"/>
      <c r="C70" s="7"/>
      <c r="D70" s="9"/>
      <c r="E70" s="9"/>
      <c r="J70" s="1"/>
      <c r="K70" s="60"/>
      <c r="L70" s="1"/>
    </row>
    <row r="71" spans="1:15" x14ac:dyDescent="0.4">
      <c r="A71" s="7"/>
      <c r="B71" s="7" t="s">
        <v>59</v>
      </c>
      <c r="C71" s="7"/>
      <c r="D71" s="16">
        <v>-10893533.35</v>
      </c>
      <c r="E71" s="9">
        <v>-15052500</v>
      </c>
      <c r="F71" s="1">
        <v>0</v>
      </c>
      <c r="G71" s="2">
        <v>0</v>
      </c>
      <c r="H71" s="2">
        <v>0</v>
      </c>
      <c r="I71" s="2">
        <v>-300000</v>
      </c>
      <c r="J71" s="55">
        <f>+I71+H71+G71+F71+E71+D71</f>
        <v>-26246033.350000001</v>
      </c>
      <c r="K71" s="65" t="s">
        <v>86</v>
      </c>
      <c r="L71" s="1">
        <f>223380.11+234143.83+817793.77+265956</f>
        <v>1541273.71</v>
      </c>
      <c r="M71" s="55">
        <f t="shared" si="1"/>
        <v>-24704759.640000001</v>
      </c>
      <c r="O71" s="3">
        <f>24704759.64+M71</f>
        <v>0</v>
      </c>
    </row>
    <row r="72" spans="1:15" x14ac:dyDescent="0.4">
      <c r="A72" s="7"/>
      <c r="B72" s="7" t="s">
        <v>42</v>
      </c>
      <c r="C72" s="7"/>
      <c r="D72" s="9"/>
      <c r="E72" s="9"/>
      <c r="H72" s="2"/>
      <c r="I72" s="2"/>
      <c r="J72" s="55">
        <f>+I72+H72+G72+F72+E72+D72</f>
        <v>0</v>
      </c>
      <c r="K72" s="60"/>
      <c r="L72" s="1"/>
      <c r="M72" s="55">
        <f t="shared" si="1"/>
        <v>0</v>
      </c>
    </row>
    <row r="73" spans="1:15" x14ac:dyDescent="0.4">
      <c r="A73" s="7"/>
      <c r="B73" s="7"/>
      <c r="C73" s="7" t="s">
        <v>13</v>
      </c>
      <c r="D73" s="16">
        <v>-2818284.07</v>
      </c>
      <c r="E73" s="9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5">
        <f>+I73+H73+G73+F73+E73+D73</f>
        <v>-2929373.9099999997</v>
      </c>
      <c r="K73" s="60"/>
      <c r="L73" s="1"/>
      <c r="M73" s="55">
        <f t="shared" si="1"/>
        <v>-2929373.9099999997</v>
      </c>
      <c r="O73" s="3">
        <f>2929373.91+M73</f>
        <v>0</v>
      </c>
    </row>
    <row r="74" spans="1:15" x14ac:dyDescent="0.4">
      <c r="A74" s="7"/>
      <c r="B74" s="7"/>
      <c r="C74" s="7" t="s">
        <v>43</v>
      </c>
      <c r="D74" s="9">
        <v>-3426490.45</v>
      </c>
      <c r="E74" s="9">
        <v>0</v>
      </c>
      <c r="F74" s="1">
        <v>0</v>
      </c>
      <c r="G74" s="2">
        <v>0</v>
      </c>
      <c r="H74" s="2">
        <v>-63528.73</v>
      </c>
      <c r="I74" s="2"/>
      <c r="J74" s="55">
        <f>+I74+H74+G74+F74+E74+D74</f>
        <v>-3490019.18</v>
      </c>
      <c r="K74" s="65"/>
      <c r="L74" s="1"/>
      <c r="M74" s="55">
        <f t="shared" si="1"/>
        <v>-3490019.18</v>
      </c>
      <c r="O74" s="3">
        <f>3490019.18+M74</f>
        <v>0</v>
      </c>
    </row>
    <row r="75" spans="1:15" x14ac:dyDescent="0.4">
      <c r="A75" s="7"/>
      <c r="B75" s="7" t="s">
        <v>5</v>
      </c>
      <c r="C75" s="7"/>
      <c r="D75" s="9"/>
      <c r="E75" s="9"/>
      <c r="H75" s="2"/>
      <c r="I75" s="2"/>
      <c r="J75" s="55">
        <f>+I75+H75+G75+F75+E75+D75</f>
        <v>0</v>
      </c>
      <c r="K75" s="60"/>
      <c r="L75" s="1"/>
      <c r="M75" s="55">
        <f t="shared" si="1"/>
        <v>0</v>
      </c>
    </row>
    <row r="76" spans="1:15" x14ac:dyDescent="0.4">
      <c r="A76" s="7"/>
      <c r="B76" s="7"/>
      <c r="C76" s="7" t="s">
        <v>14</v>
      </c>
      <c r="D76" s="14">
        <f t="shared" ref="D76:J76" si="15">SUM(D71:D75)</f>
        <v>-17138307.870000001</v>
      </c>
      <c r="E76" s="14">
        <f t="shared" si="15"/>
        <v>-15158110.43</v>
      </c>
      <c r="F76" s="14">
        <f t="shared" si="15"/>
        <v>0</v>
      </c>
      <c r="G76" s="14">
        <f t="shared" si="15"/>
        <v>0</v>
      </c>
      <c r="H76" s="14">
        <f t="shared" si="15"/>
        <v>-69007.570000000007</v>
      </c>
      <c r="I76" s="14">
        <f t="shared" si="15"/>
        <v>-300000.57</v>
      </c>
      <c r="J76" s="14">
        <f t="shared" si="15"/>
        <v>-32665426.440000001</v>
      </c>
      <c r="K76" s="60"/>
      <c r="L76" s="1"/>
      <c r="M76" s="14">
        <f>SUM(M71:M75)</f>
        <v>-31124152.73</v>
      </c>
      <c r="O76" s="3">
        <f>31124152.73+M76</f>
        <v>0</v>
      </c>
    </row>
    <row r="77" spans="1:15" x14ac:dyDescent="0.4">
      <c r="A77" s="7" t="s">
        <v>40</v>
      </c>
      <c r="B77" s="7"/>
      <c r="C77" s="7"/>
      <c r="D77" s="9"/>
      <c r="E77" s="9"/>
      <c r="H77" s="2"/>
      <c r="I77" s="2"/>
      <c r="J77" s="2"/>
      <c r="K77" s="60"/>
      <c r="L77" s="1"/>
      <c r="M77" s="55">
        <f t="shared" si="1"/>
        <v>0</v>
      </c>
    </row>
    <row r="78" spans="1:15" x14ac:dyDescent="0.4">
      <c r="A78" s="7"/>
      <c r="B78" s="7" t="s">
        <v>7</v>
      </c>
      <c r="C78" s="7"/>
      <c r="D78" s="9">
        <v>5248379.3499999996</v>
      </c>
      <c r="E78" s="9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5">
        <f>+I78+H78+G78+F78+E78+D78</f>
        <v>7350677.8999999994</v>
      </c>
      <c r="K78" s="60"/>
      <c r="L78" s="1">
        <v>-602250</v>
      </c>
      <c r="M78" s="55">
        <f t="shared" si="1"/>
        <v>6748427.8999999994</v>
      </c>
      <c r="O78" s="3">
        <f>6748427.9-M78</f>
        <v>0</v>
      </c>
    </row>
    <row r="79" spans="1:15" x14ac:dyDescent="0.4">
      <c r="A79" s="7"/>
      <c r="B79" s="7" t="s">
        <v>25</v>
      </c>
      <c r="C79" s="7"/>
      <c r="D79" s="9">
        <v>7439667.2199999997</v>
      </c>
      <c r="E79" s="9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5">
        <f>+I79+H79+G79+F79+E79+D79</f>
        <v>9979085.2400000002</v>
      </c>
      <c r="K79" s="65" t="s">
        <v>86</v>
      </c>
      <c r="L79" s="1">
        <f>-(223380.11+234143.83+817793.77)-(265956)+602250</f>
        <v>-939023.71</v>
      </c>
      <c r="M79" s="55">
        <f t="shared" ref="M79:M92" si="16">+L79+J79</f>
        <v>9040061.5300000012</v>
      </c>
      <c r="O79" s="3">
        <f>8037436.53-M79</f>
        <v>-1002625.0000000009</v>
      </c>
    </row>
    <row r="80" spans="1:15" x14ac:dyDescent="0.4">
      <c r="A80" s="7"/>
      <c r="B80" s="7" t="s">
        <v>60</v>
      </c>
      <c r="C80" s="7"/>
      <c r="D80" s="9"/>
      <c r="E80" s="9"/>
      <c r="F80" s="2"/>
      <c r="H80" s="2">
        <v>0</v>
      </c>
      <c r="I80" s="2"/>
      <c r="J80" s="55">
        <f>+I80+H80+G80+F80+E80+D80</f>
        <v>0</v>
      </c>
      <c r="K80" s="60"/>
      <c r="L80" s="1"/>
      <c r="M80" s="55">
        <f t="shared" si="16"/>
        <v>0</v>
      </c>
    </row>
    <row r="81" spans="1:15" x14ac:dyDescent="0.4">
      <c r="A81" s="7"/>
      <c r="B81" s="7" t="s">
        <v>61</v>
      </c>
      <c r="C81" s="7"/>
      <c r="D81" s="9">
        <v>338000</v>
      </c>
      <c r="E81" s="9">
        <v>0</v>
      </c>
      <c r="F81" s="2"/>
      <c r="H81" s="2">
        <v>0</v>
      </c>
      <c r="I81" s="2"/>
      <c r="J81" s="55">
        <f>+I81+H81+G81+F81+E81+D81</f>
        <v>338000</v>
      </c>
      <c r="K81" s="60"/>
      <c r="L81" s="1"/>
      <c r="M81" s="55">
        <f t="shared" si="16"/>
        <v>338000</v>
      </c>
      <c r="O81" s="82"/>
    </row>
    <row r="82" spans="1:15" x14ac:dyDescent="0.4">
      <c r="A82" s="7"/>
      <c r="B82" s="7"/>
      <c r="C82" s="7" t="s">
        <v>6</v>
      </c>
      <c r="D82" s="14">
        <f t="shared" ref="D82:J82" si="17">SUM(D78:D81)</f>
        <v>13026046.57</v>
      </c>
      <c r="E82" s="14">
        <f t="shared" si="17"/>
        <v>1926562.1600000001</v>
      </c>
      <c r="F82" s="14">
        <f t="shared" si="17"/>
        <v>1090678.93</v>
      </c>
      <c r="G82" s="14">
        <f t="shared" si="17"/>
        <v>1566605.83</v>
      </c>
      <c r="H82" s="14">
        <f t="shared" si="17"/>
        <v>29004.22</v>
      </c>
      <c r="I82" s="14">
        <f t="shared" si="17"/>
        <v>28865.43</v>
      </c>
      <c r="J82" s="14">
        <f t="shared" si="17"/>
        <v>17667763.140000001</v>
      </c>
      <c r="K82" s="60"/>
      <c r="L82" s="1"/>
      <c r="M82" s="80">
        <f>SUM(M78:M81)</f>
        <v>16126489.43</v>
      </c>
    </row>
    <row r="83" spans="1:15" x14ac:dyDescent="0.4">
      <c r="A83" s="7"/>
      <c r="B83" s="7"/>
      <c r="C83" s="7" t="s">
        <v>129</v>
      </c>
      <c r="D83" s="9"/>
      <c r="E83" s="88">
        <f>4270251.98-3969464.48</f>
        <v>300787.50000000047</v>
      </c>
      <c r="F83" s="9"/>
      <c r="G83" s="9"/>
      <c r="H83" s="9"/>
      <c r="I83" s="9"/>
      <c r="J83" s="9"/>
      <c r="K83" s="60"/>
      <c r="L83" s="1"/>
      <c r="M83" s="55">
        <f t="shared" si="16"/>
        <v>0</v>
      </c>
    </row>
    <row r="84" spans="1:15" x14ac:dyDescent="0.4">
      <c r="A84" s="7" t="s">
        <v>15</v>
      </c>
      <c r="B84" s="7"/>
      <c r="C84" s="7"/>
      <c r="D84" s="9">
        <f t="shared" ref="D84:J84" si="18">+D76+D82</f>
        <v>-4112261.3000000007</v>
      </c>
      <c r="E84" s="9">
        <f t="shared" si="18"/>
        <v>-13231548.27</v>
      </c>
      <c r="F84" s="9">
        <f t="shared" si="18"/>
        <v>1090678.93</v>
      </c>
      <c r="G84" s="9">
        <f t="shared" si="18"/>
        <v>1566605.83</v>
      </c>
      <c r="H84" s="9">
        <f t="shared" si="18"/>
        <v>-40003.350000000006</v>
      </c>
      <c r="I84" s="9">
        <f t="shared" si="18"/>
        <v>-271135.14</v>
      </c>
      <c r="J84" s="9">
        <f t="shared" si="18"/>
        <v>-14997663.300000001</v>
      </c>
      <c r="K84" s="60"/>
      <c r="L84" s="1"/>
      <c r="M84" s="55">
        <f t="shared" si="16"/>
        <v>-14997663.300000001</v>
      </c>
    </row>
    <row r="85" spans="1:15" x14ac:dyDescent="0.4">
      <c r="A85" s="7" t="s">
        <v>41</v>
      </c>
      <c r="B85" s="7"/>
      <c r="C85" s="7"/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55">
        <f>+I85+H85+G85+F85+E85+D85</f>
        <v>0</v>
      </c>
      <c r="K85" s="60"/>
      <c r="L85" s="1"/>
      <c r="M85" s="55">
        <f t="shared" si="16"/>
        <v>0</v>
      </c>
    </row>
    <row r="86" spans="1:15" x14ac:dyDescent="0.4">
      <c r="A86" s="7" t="s">
        <v>16</v>
      </c>
      <c r="B86" s="7"/>
      <c r="C86" s="7"/>
      <c r="D86" s="23">
        <v>89221.59</v>
      </c>
      <c r="E86" s="34">
        <f>4270251.98-300787.5</f>
        <v>3969464.4800000004</v>
      </c>
      <c r="F86" s="34">
        <v>0</v>
      </c>
      <c r="G86" s="34">
        <v>0</v>
      </c>
      <c r="H86" s="34">
        <v>0</v>
      </c>
      <c r="I86" s="34">
        <v>0</v>
      </c>
      <c r="J86" s="54">
        <f>+I86+H86+G86+F86+E86+D86</f>
        <v>4058686.0700000003</v>
      </c>
      <c r="K86" s="60"/>
      <c r="L86" s="1"/>
      <c r="M86" s="54">
        <f t="shared" si="16"/>
        <v>4058686.0700000003</v>
      </c>
    </row>
    <row r="87" spans="1:15" x14ac:dyDescent="0.4">
      <c r="A87" s="7" t="s">
        <v>29</v>
      </c>
      <c r="B87" s="7"/>
      <c r="C87" s="7"/>
      <c r="D87" s="15">
        <f>SUM(D84:D86)</f>
        <v>-4023039.7100000009</v>
      </c>
      <c r="E87" s="15">
        <f t="shared" ref="E87:J87" si="19">SUM(E84:E86)</f>
        <v>-9262083.7899999991</v>
      </c>
      <c r="F87" s="15">
        <f t="shared" si="19"/>
        <v>1090678.93</v>
      </c>
      <c r="G87" s="15">
        <f t="shared" si="19"/>
        <v>1566605.83</v>
      </c>
      <c r="H87" s="15">
        <f t="shared" si="19"/>
        <v>-40003.350000000006</v>
      </c>
      <c r="I87" s="15">
        <f t="shared" si="19"/>
        <v>-271135.14</v>
      </c>
      <c r="J87" s="15">
        <f t="shared" si="19"/>
        <v>-10938977.23</v>
      </c>
      <c r="K87" s="60"/>
      <c r="L87" s="1"/>
      <c r="M87" s="55">
        <f>SUM(M84:M86)</f>
        <v>-10938977.23</v>
      </c>
    </row>
    <row r="88" spans="1:15" x14ac:dyDescent="0.4">
      <c r="A88" s="7" t="s">
        <v>37</v>
      </c>
      <c r="B88" s="7"/>
      <c r="C88" s="7"/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65" t="s">
        <v>123</v>
      </c>
      <c r="L88" s="1">
        <v>-525007.16</v>
      </c>
      <c r="M88" s="54">
        <f t="shared" si="16"/>
        <v>-525007.16</v>
      </c>
    </row>
    <row r="89" spans="1:15" ht="18.75" thickBot="1" x14ac:dyDescent="0.45">
      <c r="A89" s="7" t="s">
        <v>30</v>
      </c>
      <c r="B89" s="7"/>
      <c r="C89" s="7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K89" s="60"/>
      <c r="L89" s="1">
        <f>+SUM(L71:L88)</f>
        <v>-525007.16</v>
      </c>
      <c r="M89" s="81">
        <f>SUM(M87:M88)</f>
        <v>-11463984.390000001</v>
      </c>
    </row>
    <row r="90" spans="1:15" ht="9.9499999999999993" customHeight="1" thickTop="1" x14ac:dyDescent="0.4">
      <c r="A90" s="7"/>
      <c r="B90" s="7"/>
      <c r="C90" s="7"/>
      <c r="D90" s="16"/>
      <c r="E90" s="16"/>
      <c r="F90" s="2"/>
      <c r="G90" s="16"/>
      <c r="H90" s="16"/>
      <c r="I90" s="2"/>
      <c r="J90" s="2"/>
      <c r="K90" s="60"/>
      <c r="L90" s="1"/>
      <c r="M90" s="55">
        <f t="shared" si="16"/>
        <v>0</v>
      </c>
    </row>
    <row r="91" spans="1:15" x14ac:dyDescent="0.4">
      <c r="M91" s="55">
        <f t="shared" si="16"/>
        <v>0</v>
      </c>
    </row>
    <row r="92" spans="1:15" x14ac:dyDescent="0.4">
      <c r="M92" s="55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BS_Q3-60</vt:lpstr>
      <vt:lpstr>PL_Q3-60</vt:lpstr>
      <vt:lpstr>Changed-Conso</vt:lpstr>
      <vt:lpstr>Changed-Com</vt:lpstr>
      <vt:lpstr>CashFlow</vt:lpstr>
      <vt:lpstr>Equity</vt:lpstr>
      <vt:lpstr>Conso_Q150</vt:lpstr>
      <vt:lpstr>CashFlow!OLE_LINK3</vt:lpstr>
      <vt:lpstr>'BS_Q3-60'!Print_Area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'PL_Q3-60'!Print_Area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2017-11-09T09:48:17Z</cp:lastPrinted>
  <dcterms:created xsi:type="dcterms:W3CDTF">2003-04-30T06:44:25Z</dcterms:created>
  <dcterms:modified xsi:type="dcterms:W3CDTF">2017-11-13T07:21:58Z</dcterms:modified>
</cp:coreProperties>
</file>