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0245" windowHeight="7275" tabRatio="658"/>
  </bookViews>
  <sheets>
    <sheet name="งบแสดงฐานะการเงิน Q4_61" sheetId="53" r:id="rId1"/>
    <sheet name="งบกำไรขาดทุน Q4_61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Q4_61'!$A$1:$L$134</definedName>
    <definedName name="chaiyut" localSheetId="1">'งบกำไรขาดทุน Q4_61'!$A$1:$L$97</definedName>
    <definedName name="_xlnm.Database">#REF!</definedName>
    <definedName name="OLE_LINK3" localSheetId="4">งบกระแส!$A$92</definedName>
    <definedName name="prattana" localSheetId="4">งบกระแส!$A$1:$M$94</definedName>
    <definedName name="_xlnm.Print_Area" localSheetId="3">เปลี่ยนแปลงเฉพาะ!$A$1:$V$38</definedName>
    <definedName name="_xlnm.Print_Area" localSheetId="2">เปลี่ยนแปลงรวม!$A$1:$AB$37</definedName>
    <definedName name="_xlnm.Print_Area" localSheetId="0">'งบแสดงฐานะการเงิน Q4_61'!$A$1:$L$133</definedName>
    <definedName name="_xlnm.Print_Area" localSheetId="4">งบกระแส!$A$1:$M$94</definedName>
    <definedName name="_xlnm.Print_Area" localSheetId="1">'งบกำไรขาดทุน Q4_61'!$A$1:$L$97</definedName>
  </definedNames>
  <calcPr calcId="145621" calcOnSave="0"/>
</workbook>
</file>

<file path=xl/calcChain.xml><?xml version="1.0" encoding="utf-8"?>
<calcChain xmlns="http://schemas.openxmlformats.org/spreadsheetml/2006/main">
  <c r="K20" i="52" l="1"/>
  <c r="T28" i="49"/>
  <c r="T29" i="48"/>
  <c r="T33" i="48"/>
  <c r="F31" i="50"/>
  <c r="F24" i="50"/>
  <c r="F29" i="50"/>
  <c r="F30" i="50"/>
  <c r="F32" i="50"/>
  <c r="J24" i="50"/>
  <c r="J29" i="50"/>
  <c r="J30" i="50"/>
  <c r="J32" i="50"/>
  <c r="J31" i="50"/>
  <c r="K29" i="52"/>
  <c r="K28" i="52"/>
  <c r="K12" i="52"/>
  <c r="G28" i="52"/>
  <c r="G12" i="52"/>
  <c r="F23" i="50"/>
  <c r="T30" i="49"/>
  <c r="T32" i="49"/>
  <c r="V30" i="49"/>
  <c r="T31" i="48"/>
  <c r="V31" i="48"/>
  <c r="H58" i="53"/>
  <c r="F11" i="53"/>
  <c r="F17" i="53"/>
  <c r="J17" i="53"/>
  <c r="J11" i="53"/>
  <c r="P27" i="49"/>
  <c r="R28" i="48"/>
  <c r="H20" i="50"/>
  <c r="H21" i="50"/>
  <c r="L20" i="50"/>
  <c r="L21" i="50"/>
  <c r="F70" i="53"/>
  <c r="F71" i="53"/>
  <c r="F79" i="53"/>
  <c r="F61" i="53"/>
  <c r="J70" i="53"/>
  <c r="J61" i="53"/>
  <c r="F23" i="53"/>
  <c r="J23" i="53"/>
  <c r="J18" i="53"/>
  <c r="F12" i="53"/>
  <c r="T21" i="48"/>
  <c r="T19" i="48"/>
  <c r="T23" i="48"/>
  <c r="V17" i="48"/>
  <c r="V14" i="48"/>
  <c r="V18" i="49"/>
  <c r="X18" i="49"/>
  <c r="AB18" i="49"/>
  <c r="T20" i="49"/>
  <c r="V20" i="49"/>
  <c r="X20" i="49"/>
  <c r="AB20" i="49"/>
  <c r="V13" i="49"/>
  <c r="X13" i="49"/>
  <c r="AB13" i="49"/>
  <c r="M82" i="52"/>
  <c r="M73" i="52"/>
  <c r="M59" i="52"/>
  <c r="M64" i="52"/>
  <c r="I73" i="52"/>
  <c r="I72" i="52"/>
  <c r="I59" i="52"/>
  <c r="I64" i="52"/>
  <c r="K7" i="52"/>
  <c r="M7" i="52"/>
  <c r="M31" i="52"/>
  <c r="M29" i="52"/>
  <c r="M28" i="52"/>
  <c r="M12" i="52"/>
  <c r="I28" i="52"/>
  <c r="I12" i="52"/>
  <c r="L73" i="50"/>
  <c r="L67" i="50"/>
  <c r="H73" i="50"/>
  <c r="H67" i="50"/>
  <c r="L31" i="50"/>
  <c r="L24" i="50"/>
  <c r="L29" i="50"/>
  <c r="L8" i="50"/>
  <c r="L56" i="50"/>
  <c r="H31" i="50"/>
  <c r="H24" i="50"/>
  <c r="H29" i="50"/>
  <c r="L77" i="53"/>
  <c r="L70" i="53"/>
  <c r="L67" i="53"/>
  <c r="L65" i="53"/>
  <c r="L61" i="53"/>
  <c r="L59" i="53"/>
  <c r="L71" i="53"/>
  <c r="L79" i="53"/>
  <c r="H77" i="53"/>
  <c r="H70" i="53"/>
  <c r="H67" i="53"/>
  <c r="H61" i="53"/>
  <c r="H71" i="53"/>
  <c r="H79" i="53"/>
  <c r="H115" i="53"/>
  <c r="L28" i="53"/>
  <c r="L37" i="53"/>
  <c r="L38" i="53"/>
  <c r="L24" i="53"/>
  <c r="L23" i="53"/>
  <c r="L17" i="53"/>
  <c r="L11" i="53"/>
  <c r="L7" i="53"/>
  <c r="L52" i="53"/>
  <c r="L99" i="53"/>
  <c r="H29" i="53"/>
  <c r="H37" i="53"/>
  <c r="H38" i="53"/>
  <c r="H134" i="53"/>
  <c r="H23" i="53"/>
  <c r="H17" i="53"/>
  <c r="H24" i="53"/>
  <c r="H15" i="53"/>
  <c r="H12" i="53"/>
  <c r="J21" i="50"/>
  <c r="K64" i="52"/>
  <c r="J71" i="53"/>
  <c r="J79" i="53"/>
  <c r="F37" i="53"/>
  <c r="F38" i="53"/>
  <c r="J37" i="53"/>
  <c r="J38" i="53"/>
  <c r="J24" i="53"/>
  <c r="Z28" i="49"/>
  <c r="Z32" i="49"/>
  <c r="F113" i="53"/>
  <c r="J8" i="50"/>
  <c r="J56" i="50"/>
  <c r="F77" i="53"/>
  <c r="J77" i="53"/>
  <c r="A3" i="52"/>
  <c r="A51" i="52"/>
  <c r="K6" i="52"/>
  <c r="K54" i="52"/>
  <c r="G54" i="52"/>
  <c r="G55" i="52"/>
  <c r="I55" i="52"/>
  <c r="K55" i="52"/>
  <c r="M55" i="52"/>
  <c r="G64" i="52"/>
  <c r="G72" i="52"/>
  <c r="G73" i="52"/>
  <c r="K73" i="52"/>
  <c r="O77" i="52"/>
  <c r="P77" i="52"/>
  <c r="R18" i="48"/>
  <c r="V18" i="48"/>
  <c r="D23" i="48"/>
  <c r="F23" i="48"/>
  <c r="H23" i="48"/>
  <c r="P23" i="48"/>
  <c r="V25" i="48"/>
  <c r="V28" i="48"/>
  <c r="D33" i="48"/>
  <c r="F33" i="48"/>
  <c r="H33" i="48"/>
  <c r="P33" i="48"/>
  <c r="J109" i="53"/>
  <c r="V16" i="49"/>
  <c r="X16" i="49"/>
  <c r="AB16" i="49"/>
  <c r="R17" i="49"/>
  <c r="R22" i="49"/>
  <c r="Z22" i="49"/>
  <c r="D22" i="49"/>
  <c r="F22" i="49"/>
  <c r="H22" i="49"/>
  <c r="J22" i="49"/>
  <c r="L22" i="49"/>
  <c r="N22" i="49"/>
  <c r="V24" i="49"/>
  <c r="X24" i="49"/>
  <c r="AB24" i="49"/>
  <c r="AD24" i="49"/>
  <c r="V27" i="49"/>
  <c r="X27" i="49"/>
  <c r="AB27" i="49"/>
  <c r="R28" i="49"/>
  <c r="R32" i="49"/>
  <c r="D32" i="49"/>
  <c r="F32" i="49"/>
  <c r="H32" i="49"/>
  <c r="J32" i="49"/>
  <c r="L32" i="49"/>
  <c r="N32" i="49"/>
  <c r="F109" i="53"/>
  <c r="F21" i="50"/>
  <c r="A50" i="50"/>
  <c r="A52" i="50"/>
  <c r="F55" i="50"/>
  <c r="J55" i="50"/>
  <c r="F56" i="50"/>
  <c r="H56" i="50"/>
  <c r="F67" i="50"/>
  <c r="J67" i="50"/>
  <c r="F73" i="50"/>
  <c r="J73" i="50"/>
  <c r="J7" i="53"/>
  <c r="J52" i="53"/>
  <c r="J99" i="53"/>
  <c r="A47" i="53"/>
  <c r="A94" i="53"/>
  <c r="A48" i="53"/>
  <c r="A95" i="53"/>
  <c r="A49" i="53"/>
  <c r="A96" i="53"/>
  <c r="F52" i="53"/>
  <c r="F99" i="53"/>
  <c r="H52" i="53"/>
  <c r="H99" i="53"/>
  <c r="H112" i="53"/>
  <c r="H114" i="53"/>
  <c r="L112" i="53"/>
  <c r="L113" i="53"/>
  <c r="L114" i="53"/>
  <c r="F24" i="53"/>
  <c r="T17" i="49"/>
  <c r="T22" i="49"/>
  <c r="V21" i="48"/>
  <c r="H30" i="50"/>
  <c r="H32" i="50"/>
  <c r="I10" i="52"/>
  <c r="I23" i="52"/>
  <c r="I39" i="52"/>
  <c r="I42" i="52"/>
  <c r="I76" i="52"/>
  <c r="I78" i="52"/>
  <c r="I98" i="52"/>
  <c r="V28" i="49"/>
  <c r="L30" i="50"/>
  <c r="L32" i="50"/>
  <c r="L58" i="50"/>
  <c r="L69" i="50"/>
  <c r="L72" i="50"/>
  <c r="L74" i="50"/>
  <c r="M10" i="52"/>
  <c r="M23" i="52"/>
  <c r="M39" i="52"/>
  <c r="M42" i="52"/>
  <c r="M76" i="52"/>
  <c r="M78" i="52"/>
  <c r="M98" i="52"/>
  <c r="H34" i="50"/>
  <c r="H41" i="50"/>
  <c r="H58" i="50"/>
  <c r="H69" i="50"/>
  <c r="H72" i="50"/>
  <c r="H74" i="50"/>
  <c r="L34" i="50"/>
  <c r="L36" i="50"/>
  <c r="P17" i="49"/>
  <c r="P22" i="49"/>
  <c r="H36" i="50"/>
  <c r="H38" i="50"/>
  <c r="L41" i="50"/>
  <c r="R19" i="48"/>
  <c r="V19" i="48"/>
  <c r="V23" i="48"/>
  <c r="L38" i="50"/>
  <c r="R23" i="48"/>
  <c r="W25" i="48"/>
  <c r="L115" i="53"/>
  <c r="L134" i="53"/>
  <c r="W23" i="48"/>
  <c r="V17" i="49"/>
  <c r="V22" i="49"/>
  <c r="X17" i="49"/>
  <c r="AB17" i="49"/>
  <c r="AB22" i="49"/>
  <c r="X22" i="49"/>
  <c r="V32" i="49"/>
  <c r="F111" i="53"/>
  <c r="X30" i="49"/>
  <c r="AB30" i="49"/>
  <c r="F34" i="50"/>
  <c r="G10" i="52"/>
  <c r="G23" i="52"/>
  <c r="G39" i="52"/>
  <c r="G42" i="52"/>
  <c r="G76" i="52"/>
  <c r="G78" i="52"/>
  <c r="F58" i="50"/>
  <c r="F69" i="50"/>
  <c r="F72" i="50"/>
  <c r="F74" i="50"/>
  <c r="K10" i="52"/>
  <c r="K23" i="52"/>
  <c r="K39" i="52"/>
  <c r="K42" i="52"/>
  <c r="K76" i="52"/>
  <c r="K78" i="52"/>
  <c r="J34" i="50"/>
  <c r="J58" i="50"/>
  <c r="J69" i="50"/>
  <c r="J72" i="50"/>
  <c r="J74" i="50"/>
  <c r="O78" i="52"/>
  <c r="G98" i="52"/>
  <c r="P28" i="49"/>
  <c r="F36" i="50"/>
  <c r="F41" i="50"/>
  <c r="F38" i="50"/>
  <c r="J36" i="50"/>
  <c r="J38" i="50"/>
  <c r="J41" i="50"/>
  <c r="R29" i="48"/>
  <c r="P78" i="52"/>
  <c r="K98" i="52"/>
  <c r="X28" i="49"/>
  <c r="P32" i="49"/>
  <c r="F110" i="53"/>
  <c r="F112" i="53"/>
  <c r="F114" i="53"/>
  <c r="F115" i="53"/>
  <c r="F134" i="53"/>
  <c r="R33" i="48"/>
  <c r="J110" i="53"/>
  <c r="J112" i="53"/>
  <c r="J114" i="53"/>
  <c r="J115" i="53"/>
  <c r="J134" i="53"/>
  <c r="V29" i="48"/>
  <c r="V33" i="48"/>
  <c r="W33" i="48"/>
  <c r="X32" i="49"/>
  <c r="AB28" i="49"/>
  <c r="AB32" i="49"/>
  <c r="AD32" i="49"/>
</calcChain>
</file>

<file path=xl/sharedStrings.xml><?xml version="1.0" encoding="utf-8"?>
<sst xmlns="http://schemas.openxmlformats.org/spreadsheetml/2006/main" count="353" uniqueCount="228">
  <si>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</si>
  <si>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</si>
  <si>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</si>
  <si>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</si>
  <si>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</si>
  <si>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</si>
  <si>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</si>
  <si>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</si>
  <si>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</si>
  <si>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</si>
  <si>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</si>
  <si>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</si>
  <si>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</si>
  <si>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</si>
  <si>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</si>
  <si>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</si>
  <si>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</si>
  <si>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</si>
  <si>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</si>
  <si>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</si>
  <si>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</si>
  <si>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</si>
  <si>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</si>
  <si>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</si>
  <si>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</si>
  <si>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</si>
  <si>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</si>
  <si>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</si>
  <si>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</si>
  <si>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</si>
  <si>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</si>
  <si>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</si>
  <si>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</si>
  <si>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</si>
  <si>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</si>
  <si>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</si>
  <si>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</si>
  <si>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</si>
  <si>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</si>
  <si>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</si>
  <si>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</si>
  <si>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</si>
  <si>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</si>
  <si>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</si>
  <si>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</si>
  <si>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</si>
  <si>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</si>
  <si>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</si>
  <si>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</si>
  <si>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</si>
  <si>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</si>
  <si>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</si>
  <si>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</si>
  <si>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เงินลงทุนทั่วไป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</si>
  <si>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</si>
  <si>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</si>
  <si>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</si>
  <si>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ผลต่างจาก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</si>
  <si>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</si>
  <si>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</si>
  <si>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</si>
  <si>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</si>
  <si>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</si>
  <si>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</si>
  <si>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</si>
  <si>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</si>
  <si>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</si>
  <si>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</si>
  <si>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กลับรายการค่าเผื่อหนี้สงสัยจะสูญ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</si>
  <si>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</si>
  <si>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</si>
  <si>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</si>
  <si>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</si>
  <si>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</si>
  <si>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ขาดทุน (กำไร) ที่ยังไม่เกิดขึ้นจากเงินลงทุนในหลักทรัพย์เพื่อค้า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</si>
  <si>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</si>
  <si>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</si>
  <si>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</si>
  <si>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</si>
  <si>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</si>
  <si>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</si>
  <si>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</si>
  <si>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</si>
  <si>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</si>
  <si>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</si>
  <si>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</si>
  <si>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</si>
  <si>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</si>
  <si>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</si>
  <si>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</si>
  <si>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กำไรจากการขายเงินลงทุนในหลักทรัพย์เพื่อค้า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</si>
  <si>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</si>
  <si>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</si>
  <si>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</si>
  <si>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</si>
  <si>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</si>
  <si>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</si>
  <si>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</si>
  <si>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</si>
  <si>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เงินลงทุนชั่วคราว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</si>
  <si>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</si>
  <si>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</si>
  <si>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</si>
  <si>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</si>
  <si>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</si>
  <si>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ภาระผูกพันผลประโยชน์พนักงาน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</si>
  <si>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</si>
  <si>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</si>
  <si>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</si>
  <si>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</si>
  <si>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</si>
  <si>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</si>
  <si>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</si>
  <si>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</si>
  <si>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</si>
  <si>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</si>
  <si>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</si>
  <si>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องค์ประกอบอื่น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</si>
  <si>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</si>
  <si>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</si>
  <si>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</si>
  <si>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</si>
  <si>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</si>
  <si>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</si>
  <si>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</si>
  <si>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</si>
  <si>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</si>
  <si>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</si>
  <si>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</si>
  <si>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</si>
  <si>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</si>
  <si>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ลูกหนี้อื่น</t>
  </si>
  <si>
    <t>เจ้าหนี้อื่น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</si>
  <si>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</si>
  <si>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</si>
  <si>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</si>
  <si>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 xml:space="preserve">ลูกหนี้อื่น - กิจการอื่น  </t>
  </si>
  <si>
    <t>ลูกหนี้อื่น - กิจการที่เกี่ยวข้องกัน</t>
  </si>
  <si>
    <t>เจ้าหนี้อื่น -กิจการอื่น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</si>
  <si>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</si>
  <si>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</si>
  <si>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</si>
  <si>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</si>
  <si>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เงินลงทุนทั่วไป (เพิ่มขึ้น) ลดลง</t>
  </si>
  <si>
    <t>ขาดทุนที่ยังไม่เกิดขึ้นจากเงินลงทุนในหลักทรัพย์เพื่อค้า</t>
  </si>
  <si>
    <t>ผลกระทบจากการขายหลักทรัพย์เพื่อค้าระหว่างกัน</t>
  </si>
  <si>
    <t>หมายเหตุประกอบงบการเงินถือเป็นส่วนหนึ่งของงบการเงินนี้</t>
  </si>
  <si>
    <t>สำหรับปีสิ้นสุดวันที่ 31 ธันวาคม</t>
  </si>
  <si>
    <t>กำไร(ขาดทุน) สำหรับปี</t>
  </si>
  <si>
    <t>กำไร (ขาดทุน) สุทธิสำหรับปี</t>
  </si>
  <si>
    <t xml:space="preserve">      กำไรขาดทุนเบ็ดเสร็จรวมสำหรับปี</t>
  </si>
  <si>
    <t>ค่าใช้จ่ายภาษีเงินได้ของปีปัจจุบัน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</si>
  <si>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</si>
  <si>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</si>
  <si>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เงินกู้ยืม</t>
  </si>
  <si>
    <t xml:space="preserve">      จ่ายปันผล</t>
  </si>
  <si>
    <t xml:space="preserve">      จ่ายปันผล 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</si>
  <si>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</si>
  <si>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</si>
  <si>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</si>
  <si>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</si>
  <si>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</si>
  <si>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</si>
  <si>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</si>
  <si>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</si>
  <si>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</si>
  <si>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</si>
  <si>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</si>
  <si>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</si>
  <si>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</si>
  <si>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</si>
  <si>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</si>
  <si>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</si>
  <si>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</si>
  <si>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เจ้าหนี้อื่น -กิจการที่เกี่ยวข้องกัน</t>
  </si>
  <si>
    <t>อาคาร และอุปกรณ์-สุทธิ</t>
  </si>
  <si>
    <t>อสังหาริมทรัพย์เพื่อการลงทุน</t>
  </si>
  <si>
    <t>กลับรายการค่าเผื่อด้อยค่าเงินลงทุน</t>
  </si>
  <si>
    <t>ค่าเผื่อด้อยค่าในเงินลงทุน(โอนกลับ)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</si>
  <si>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</si>
  <si>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</si>
  <si>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</si>
  <si>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</si>
  <si>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</si>
  <si>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 xml:space="preserve">- หุ้นสามัญ  5,647,349,128  หุ้น </t>
  </si>
  <si>
    <t>ส่วนเกิน</t>
  </si>
  <si>
    <t>(ส่วนต่ำ)</t>
  </si>
  <si>
    <t>หนี้สินจากสัญญาเช่าการเงินที่ถึงกำหนดชำระภายในหนึ่งปี</t>
  </si>
  <si>
    <t>หนี้สินตามสัญญาเช่าการเงิน</t>
  </si>
  <si>
    <t>หนี้สินไม่หมุนเวียนอื่น</t>
  </si>
  <si>
    <t>31 ธันวาคม 2560</t>
  </si>
  <si>
    <t>2560</t>
  </si>
  <si>
    <t>ยอดคงเหลือ ณ วันที่  1 มกราคม 2560</t>
  </si>
  <si>
    <t>ยอดคงเหลือ ณ วันที่ 31 ธันวาคม 2560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</si>
  <si>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</si>
  <si>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</si>
  <si>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</si>
  <si>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 xml:space="preserve">- หุ้นสามัญ  5,637,604,866  หุ้น </t>
  </si>
  <si>
    <t>กำไรจากการเปลี่ยนแปลงเงินลงทุน</t>
  </si>
  <si>
    <t>ขาดทุนจากการลงทุนในบริษัทย่อยเลิกบริษัท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</si>
  <si>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</si>
  <si>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</si>
  <si>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</si>
  <si>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ขาดทุน (กำไร) จากการเปลี่ยนแปลงประเภทเงินลงทุน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</si>
  <si>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</si>
  <si>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</si>
  <si>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</si>
  <si>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</si>
  <si>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</si>
  <si>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จ่ายหนี้สินตามสัญญาเช่าการเงิน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</si>
  <si>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</si>
  <si>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</si>
  <si>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</si>
  <si>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</si>
  <si>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 xml:space="preserve">     ชำระบัญชีบริษัทย่อยคืนส่วนได้เสียที่ไม่มีอำนาจควบคุม</t>
  </si>
  <si>
    <t>เงินสดจ่ายให้ผู้ถือหุ้นส่วนน้อยของบ.ย่อยที่ชำระบัญชี</t>
  </si>
  <si>
    <t>เงินปันผลรับจากบริษัทย่อย</t>
  </si>
  <si>
    <t>ณ วันที่ 31 ธันวาคม 2561</t>
  </si>
  <si>
    <t>สำหรับปีสิ้นสุดวันที่ 31 ธันวาคม 2561</t>
  </si>
  <si>
    <t>31 ธันวาคม 2561</t>
  </si>
  <si>
    <t>2561</t>
  </si>
  <si>
    <t>ยอดคงเหลือ ณ วันที่  1 มกราคม 2561</t>
  </si>
  <si>
    <t>ยอดคงเหลือ ณ วันที่ 31 ธันวาคม 2561</t>
  </si>
  <si>
    <t>กำไรจากอัตราแลกเปลี่ยน</t>
  </si>
  <si>
    <t>ขาดทุนจากการขายเงินลงทุนอื่น</t>
  </si>
  <si>
    <t>จ่ายเงินปันผล</t>
  </si>
  <si>
    <t>11 , 12</t>
  </si>
  <si>
    <t>7 , 10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</si>
</sst>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7" x14ac:knownFonts="1">
    <font>
      <sz val="14"/>
      <name val="Cordia New"/>
      <charset val="222"/>
    </font>
    <font>
      <sz val="14"/>
      <name val="Cordia New"/>
      <charset val="22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1" fillId="21" borderId="2" applyNumberFormat="0" applyAlignment="0" applyProtection="0"/>
    <xf numFmtId="0" fontId="22" fillId="0" borderId="7" applyNumberFormat="0" applyFill="0" applyAlignment="0" applyProtection="0"/>
    <xf numFmtId="0" fontId="23" fillId="3" borderId="0" applyNumberFormat="0" applyBorder="0" applyAlignment="0" applyProtection="0"/>
    <xf numFmtId="0" fontId="24" fillId="20" borderId="9" applyNumberFormat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7" borderId="1" applyNumberFormat="0" applyAlignment="0" applyProtection="0"/>
    <xf numFmtId="0" fontId="31" fillId="24" borderId="0" applyNumberFormat="0" applyBorder="0" applyAlignment="0" applyProtection="0"/>
    <xf numFmtId="0" fontId="32" fillId="0" borderId="11" applyNumberFormat="0" applyFill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25" borderId="8" applyNumberFormat="0" applyFon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</cellStyleXfs>
  <cellXfs count="140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right"/>
    </xf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167" fontId="3" fillId="0" borderId="0" xfId="19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0" applyFont="1" applyFill="1" applyBorder="1" applyAlignment="1">
      <alignment horizontal="center"/>
    </xf>
    <xf numFmtId="0" fontId="3" fillId="0" borderId="12" xfId="19" applyNumberFormat="1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167" fontId="7" fillId="0" borderId="0" xfId="19" applyNumberFormat="1" applyFont="1" applyFill="1" applyBorder="1" applyAlignment="1">
      <alignment horizontal="center" vertical="top" wrapText="1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174" fontId="15" fillId="0" borderId="0" xfId="19" applyNumberFormat="1" applyFont="1" applyFill="1" applyBorder="1"/>
    <xf numFmtId="168" fontId="15" fillId="0" borderId="0" xfId="0" applyNumberFormat="1" applyFont="1" applyFill="1" applyBorder="1"/>
    <xf numFmtId="167" fontId="15" fillId="0" borderId="0" xfId="0" applyNumberFormat="1" applyFont="1" applyFill="1"/>
    <xf numFmtId="0" fontId="16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167" fontId="6" fillId="0" borderId="0" xfId="19" applyNumberFormat="1" applyFont="1" applyFill="1" applyBorder="1" applyAlignment="1">
      <alignment horizontal="center" vertical="top" wrapText="1"/>
    </xf>
    <xf numFmtId="167" fontId="3" fillId="0" borderId="0" xfId="19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8" fillId="0" borderId="0" xfId="0" applyNumberFormat="1" applyFont="1" applyFill="1"/>
    <xf numFmtId="0" fontId="18" fillId="0" borderId="0" xfId="0" applyFont="1" applyFill="1"/>
    <xf numFmtId="43" fontId="18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5" fillId="0" borderId="0" xfId="19" applyNumberFormat="1" applyFont="1" applyFill="1"/>
    <xf numFmtId="43" fontId="15" fillId="0" borderId="0" xfId="0" applyNumberFormat="1" applyFont="1" applyFill="1" applyBorder="1"/>
    <xf numFmtId="43" fontId="15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8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6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0" fontId="3" fillId="26" borderId="0" xfId="0" applyFont="1" applyFill="1"/>
    <xf numFmtId="0" fontId="3" fillId="26" borderId="0" xfId="0" applyFont="1" applyFill="1" applyBorder="1"/>
    <xf numFmtId="167" fontId="3" fillId="26" borderId="0" xfId="0" applyNumberFormat="1" applyFont="1" applyFill="1"/>
    <xf numFmtId="0" fontId="7" fillId="0" borderId="0" xfId="0" applyFont="1" applyFill="1"/>
    <xf numFmtId="168" fontId="7" fillId="0" borderId="0" xfId="0" applyNumberFormat="1" applyFont="1" applyFill="1" applyAlignment="1">
      <alignment horizontal="center"/>
    </xf>
    <xf numFmtId="175" fontId="3" fillId="0" borderId="16" xfId="19" applyNumberFormat="1" applyFont="1" applyFill="1" applyBorder="1"/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/>
    </xf>
  </cellXfs>
  <cellStyles count="52">
    <cellStyle name="20% - ส่วนที่ถูกเน้น1" xfId="1"/>
    <cellStyle name="20% - ส่วนที่ถูกเน้น2" xfId="2"/>
    <cellStyle name="20% - ส่วนที่ถูกเน้น3" xfId="3"/>
    <cellStyle name="20% - ส่วนที่ถูกเน้น4" xfId="4"/>
    <cellStyle name="20% - ส่วนที่ถูกเน้น5" xfId="5"/>
    <cellStyle name="20% - ส่วนที่ถูกเน้น6" xfId="6"/>
    <cellStyle name="40% - ส่วนที่ถูกเน้น1" xfId="7"/>
    <cellStyle name="40% - ส่วนที่ถูกเน้น2" xfId="8"/>
    <cellStyle name="40% - ส่วนที่ถูกเน้น3" xfId="9"/>
    <cellStyle name="40% - ส่วนที่ถูกเน้น4" xfId="10"/>
    <cellStyle name="40% - ส่วนที่ถูกเน้น5" xfId="11"/>
    <cellStyle name="40% - ส่วนที่ถูกเน้น6" xfId="12"/>
    <cellStyle name="60% - ส่วนที่ถูกเน้น1" xfId="13"/>
    <cellStyle name="60% - ส่วนที่ถูกเน้น2" xfId="14"/>
    <cellStyle name="60% - ส่วนที่ถูกเน้น3" xfId="15"/>
    <cellStyle name="60% - ส่วนที่ถูกเน้น4" xfId="16"/>
    <cellStyle name="60% - ส่วนที่ถูกเน้น5" xfId="17"/>
    <cellStyle name="60% - ส่วนที่ถูกเน้น6" xfId="18"/>
    <cellStyle name="Comma" xfId="19" builtinId="3"/>
    <cellStyle name="comma zerodec" xfId="20"/>
    <cellStyle name="Currency1" xfId="21"/>
    <cellStyle name="Dollar (zero dec)" xfId="22"/>
    <cellStyle name="Grey" xfId="23"/>
    <cellStyle name="Input [yellow]" xfId="24"/>
    <cellStyle name="no dec" xfId="25"/>
    <cellStyle name="Normal" xfId="0" builtinId="0"/>
    <cellStyle name="Normal - Style1" xfId="26"/>
    <cellStyle name="Percent [2]" xfId="27"/>
    <cellStyle name="Quantity" xfId="28"/>
    <cellStyle name="เซลล์ตรวจสอบ" xfId="29"/>
    <cellStyle name="เซลล์ที่มีการเชื่อมโยง" xfId="30"/>
    <cellStyle name="แย่" xfId="31"/>
    <cellStyle name="แสดงผล" xfId="32"/>
    <cellStyle name="การคำนวณ" xfId="33"/>
    <cellStyle name="ข้อความเตือน" xfId="34"/>
    <cellStyle name="ข้อความอธิบาย" xfId="35"/>
    <cellStyle name="ชื่อเรื่อง" xfId="36"/>
    <cellStyle name="ดี" xfId="37"/>
    <cellStyle name="ป้อนค่า" xfId="38"/>
    <cellStyle name="ปานกลาง" xfId="39"/>
    <cellStyle name="ผลรวม" xfId="40"/>
    <cellStyle name="ส่วนที่ถูกเน้น1" xfId="41"/>
    <cellStyle name="ส่วนที่ถูกเน้น2" xfId="42"/>
    <cellStyle name="ส่วนที่ถูกเน้น3" xfId="43"/>
    <cellStyle name="ส่วนที่ถูกเน้น4" xfId="44"/>
    <cellStyle name="ส่วนที่ถูกเน้น5" xfId="45"/>
    <cellStyle name="ส่วนที่ถูกเน้น6" xfId="46"/>
    <cellStyle name="หมายเหตุ" xfId="47"/>
    <cellStyle name="หัวเรื่อง 1" xfId="48"/>
    <cellStyle name="หัวเรื่อง 2" xfId="49"/>
    <cellStyle name="หัวเรื่อง 3" xfId="50"/>
    <cellStyle name="หัวเรื่อง 4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6"/>
  <sheetViews>
    <sheetView tabSelected="1" view="pageBreakPreview" zoomScale="90" zoomScaleNormal="100" zoomScaleSheetLayoutView="90" workbookViewId="0">
      <selection activeCell="F66" sqref="F66:J66"/>
    </sheetView>
  </sheetViews>
  <sheetFormatPr defaultRowHeight="18" x14ac:dyDescent="0.4"/>
  <cols>
    <col min="1" max="2" width="2.7109375" style="6" customWidth="1"/>
    <col min="3" max="3" width="32.85546875" style="6" customWidth="1"/>
    <col min="4" max="4" width="6.28515625" style="7" customWidth="1"/>
    <col min="5" max="5" width="0.85546875" style="7" customWidth="1"/>
    <col min="6" max="6" width="12.85546875" style="7" customWidth="1"/>
    <col min="7" max="7" width="0.7109375" style="7" customWidth="1"/>
    <col min="8" max="8" width="12.85546875" style="7" customWidth="1"/>
    <col min="9" max="9" width="0.85546875" style="6" customWidth="1"/>
    <col min="10" max="10" width="12.85546875" style="9" customWidth="1"/>
    <col min="11" max="11" width="1" style="9" customWidth="1"/>
    <col min="12" max="12" width="12.85546875" style="9" customWidth="1"/>
    <col min="13" max="13" width="15.7109375" style="15" customWidth="1"/>
    <col min="14" max="14" width="2.7109375" style="15" customWidth="1"/>
    <col min="15" max="15" width="15.7109375" style="6" customWidth="1"/>
    <col min="16" max="16" width="2.7109375" style="6" customWidth="1"/>
    <col min="17" max="17" width="13.85546875" style="6" customWidth="1"/>
    <col min="18" max="18" width="2.7109375" style="6" customWidth="1"/>
    <col min="19" max="19" width="14.5703125" style="6" customWidth="1"/>
    <col min="20" max="20" width="11" style="6" customWidth="1"/>
    <col min="21" max="16384" width="9.140625" style="6"/>
  </cols>
  <sheetData>
    <row r="1" spans="1:18" x14ac:dyDescent="0.4">
      <c r="D1" s="29"/>
      <c r="E1" s="29"/>
      <c r="F1" s="14"/>
      <c r="G1" s="14"/>
      <c r="H1" s="14"/>
      <c r="J1" s="14"/>
      <c r="K1" s="14"/>
      <c r="L1" s="14"/>
      <c r="O1" s="15"/>
      <c r="P1" s="15"/>
      <c r="Q1" s="15"/>
      <c r="R1" s="15"/>
    </row>
    <row r="2" spans="1:18" x14ac:dyDescent="0.4">
      <c r="A2" s="131" t="s">
        <v>52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24"/>
      <c r="N2" s="24"/>
    </row>
    <row r="3" spans="1:18" ht="18" customHeight="1" x14ac:dyDescent="0.4">
      <c r="A3" s="131" t="s">
        <v>103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8" ht="20.25" customHeight="1" x14ac:dyDescent="0.4">
      <c r="A4" s="131" t="s">
        <v>217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8" x14ac:dyDescent="0.4">
      <c r="A5" s="7"/>
      <c r="B5" s="7"/>
      <c r="F5" s="128" t="s">
        <v>13</v>
      </c>
      <c r="G5" s="128"/>
      <c r="H5" s="128"/>
      <c r="I5" s="128"/>
      <c r="J5" s="128"/>
      <c r="K5" s="128"/>
      <c r="L5" s="128"/>
    </row>
    <row r="6" spans="1:18" x14ac:dyDescent="0.4">
      <c r="F6" s="129" t="s">
        <v>34</v>
      </c>
      <c r="G6" s="129"/>
      <c r="H6" s="129"/>
      <c r="J6" s="133" t="s">
        <v>35</v>
      </c>
      <c r="K6" s="133"/>
      <c r="L6" s="133"/>
    </row>
    <row r="7" spans="1:18" x14ac:dyDescent="0.4">
      <c r="D7" s="39" t="s">
        <v>40</v>
      </c>
      <c r="E7" s="24"/>
      <c r="F7" s="36" t="s">
        <v>219</v>
      </c>
      <c r="G7" s="25"/>
      <c r="H7" s="36" t="s">
        <v>190</v>
      </c>
      <c r="J7" s="36" t="str">
        <f>+F7</f>
        <v>31 ธันวาคม 2561</v>
      </c>
      <c r="K7" s="25"/>
      <c r="L7" s="36" t="str">
        <f>+H7</f>
        <v>31 ธันวาคม 2560</v>
      </c>
    </row>
    <row r="8" spans="1:18" s="53" customFormat="1" ht="18" customHeight="1" x14ac:dyDescent="0.35">
      <c r="D8" s="49"/>
      <c r="E8" s="49"/>
      <c r="F8" s="70"/>
      <c r="G8" s="70"/>
      <c r="H8" s="70"/>
      <c r="I8" s="54"/>
      <c r="J8" s="70"/>
      <c r="K8" s="70"/>
      <c r="L8" s="70"/>
      <c r="M8" s="49"/>
      <c r="N8" s="49"/>
    </row>
    <row r="9" spans="1:18" ht="18" customHeight="1" x14ac:dyDescent="0.4">
      <c r="A9" s="134" t="s">
        <v>5</v>
      </c>
      <c r="B9" s="134"/>
      <c r="C9" s="134"/>
      <c r="D9" s="24"/>
      <c r="E9" s="24"/>
      <c r="F9" s="6"/>
      <c r="G9" s="6"/>
      <c r="H9" s="6"/>
      <c r="J9" s="56"/>
      <c r="K9" s="56"/>
      <c r="L9" s="56"/>
    </row>
    <row r="10" spans="1:18" x14ac:dyDescent="0.4">
      <c r="A10" s="6" t="s">
        <v>6</v>
      </c>
      <c r="F10" s="5"/>
      <c r="G10" s="5"/>
      <c r="H10" s="5"/>
    </row>
    <row r="11" spans="1:18" x14ac:dyDescent="0.4">
      <c r="B11" s="6" t="s">
        <v>14</v>
      </c>
      <c r="D11" s="7">
        <v>3</v>
      </c>
      <c r="F11" s="83">
        <f>246210951.14-75500000</f>
        <v>170710951.13999999</v>
      </c>
      <c r="G11" s="83"/>
      <c r="H11" s="83">
        <v>450323877</v>
      </c>
      <c r="I11" s="52"/>
      <c r="J11" s="69">
        <f>105006348-75500000</f>
        <v>29506348</v>
      </c>
      <c r="K11" s="69"/>
      <c r="L11" s="69">
        <f>256250858.2</f>
        <v>256250858.19999999</v>
      </c>
    </row>
    <row r="12" spans="1:18" x14ac:dyDescent="0.4">
      <c r="B12" s="17" t="s">
        <v>99</v>
      </c>
      <c r="D12" s="7">
        <v>4</v>
      </c>
      <c r="F12" s="83">
        <f>445357788.69+437023825.73</f>
        <v>882381614.42000008</v>
      </c>
      <c r="G12" s="83"/>
      <c r="H12" s="83">
        <f>595998852.03+692179956.29</f>
        <v>1288178808.3199999</v>
      </c>
      <c r="I12" s="52"/>
      <c r="J12" s="69">
        <v>380587218.69</v>
      </c>
      <c r="K12" s="69"/>
      <c r="L12" s="69">
        <v>673996001.28999996</v>
      </c>
    </row>
    <row r="13" spans="1:18" x14ac:dyDescent="0.4">
      <c r="B13" s="6" t="s">
        <v>93</v>
      </c>
      <c r="F13" s="83"/>
      <c r="G13" s="83"/>
      <c r="H13" s="83"/>
      <c r="I13" s="52"/>
      <c r="J13" s="69"/>
      <c r="K13" s="69"/>
      <c r="L13" s="69"/>
    </row>
    <row r="14" spans="1:18" x14ac:dyDescent="0.4">
      <c r="C14" s="6" t="s">
        <v>36</v>
      </c>
      <c r="D14" s="7">
        <v>5</v>
      </c>
      <c r="F14" s="83">
        <v>153396691.5</v>
      </c>
      <c r="G14" s="83"/>
      <c r="H14" s="83">
        <v>180448361.59999999</v>
      </c>
      <c r="I14" s="52"/>
      <c r="J14" s="69">
        <v>49326755.579999998</v>
      </c>
      <c r="K14" s="69"/>
      <c r="L14" s="69">
        <v>11342000</v>
      </c>
      <c r="O14" s="15"/>
      <c r="P14" s="15"/>
      <c r="Q14" s="15"/>
      <c r="R14" s="15"/>
    </row>
    <row r="15" spans="1:18" x14ac:dyDescent="0.4">
      <c r="C15" s="6" t="s">
        <v>33</v>
      </c>
      <c r="D15" s="7">
        <v>2.2000000000000002</v>
      </c>
      <c r="F15" s="83">
        <v>8537173.5600000005</v>
      </c>
      <c r="G15" s="83"/>
      <c r="H15" s="83">
        <f>12296778.51+428</f>
        <v>12297206.51</v>
      </c>
      <c r="I15" s="52"/>
      <c r="J15" s="69">
        <v>1074478.6399999999</v>
      </c>
      <c r="K15" s="69"/>
      <c r="L15" s="69">
        <v>428</v>
      </c>
      <c r="O15" s="15"/>
      <c r="P15" s="15"/>
      <c r="Q15" s="15"/>
      <c r="R15" s="15"/>
    </row>
    <row r="16" spans="1:18" x14ac:dyDescent="0.4">
      <c r="B16" s="6" t="s">
        <v>131</v>
      </c>
      <c r="F16" s="83"/>
      <c r="G16" s="83"/>
      <c r="H16" s="83"/>
      <c r="I16" s="52"/>
      <c r="J16" s="69"/>
      <c r="K16" s="69"/>
      <c r="L16" s="69"/>
      <c r="O16" s="15"/>
      <c r="P16" s="15"/>
      <c r="Q16" s="15"/>
      <c r="R16" s="15"/>
    </row>
    <row r="17" spans="1:18" s="120" customFormat="1" x14ac:dyDescent="0.4">
      <c r="A17" s="6"/>
      <c r="B17" s="6"/>
      <c r="C17" s="6" t="s">
        <v>87</v>
      </c>
      <c r="D17" s="7">
        <v>6</v>
      </c>
      <c r="E17" s="7"/>
      <c r="F17" s="83">
        <f>4500+1023176.36+7219726.04+7389041.1+78904.11+49315.07+75500000</f>
        <v>91264662.680000007</v>
      </c>
      <c r="G17" s="83"/>
      <c r="H17" s="83">
        <f>4500+1018800.16+88743.83+1665.81+41971470.09</f>
        <v>43085179.890000001</v>
      </c>
      <c r="I17" s="52"/>
      <c r="J17" s="69">
        <f>4500+770607.68+7219726.04+7389041.1+78904.11+49315.07+75500000</f>
        <v>91012094</v>
      </c>
      <c r="K17" s="69"/>
      <c r="L17" s="69">
        <f>4500+719706.74+88743.83+36493470.09</f>
        <v>37306420.660000004</v>
      </c>
      <c r="M17" s="121"/>
      <c r="N17" s="121"/>
      <c r="O17" s="121"/>
      <c r="P17" s="121"/>
      <c r="Q17" s="121"/>
      <c r="R17" s="121"/>
    </row>
    <row r="18" spans="1:18" x14ac:dyDescent="0.4">
      <c r="C18" s="6" t="s">
        <v>33</v>
      </c>
      <c r="D18" s="7">
        <v>2.2999999999999998</v>
      </c>
      <c r="F18" s="83">
        <v>0</v>
      </c>
      <c r="G18" s="83"/>
      <c r="H18" s="83">
        <v>0</v>
      </c>
      <c r="I18" s="52"/>
      <c r="J18" s="69">
        <f>1594862.94+219410.97+72301150</f>
        <v>74115423.909999996</v>
      </c>
      <c r="K18" s="69"/>
      <c r="L18" s="69">
        <v>2828</v>
      </c>
      <c r="O18" s="15"/>
      <c r="P18" s="15"/>
      <c r="Q18" s="15"/>
      <c r="R18" s="15"/>
    </row>
    <row r="19" spans="1:18" x14ac:dyDescent="0.4">
      <c r="B19" s="6" t="s">
        <v>69</v>
      </c>
      <c r="F19" s="83"/>
      <c r="G19" s="83"/>
      <c r="H19" s="83"/>
      <c r="I19" s="69"/>
      <c r="J19" s="69"/>
      <c r="K19" s="69"/>
      <c r="L19" s="69"/>
      <c r="O19" s="15"/>
      <c r="P19" s="15"/>
      <c r="Q19" s="15"/>
      <c r="R19" s="15"/>
    </row>
    <row r="20" spans="1:18" x14ac:dyDescent="0.4">
      <c r="C20" s="6" t="s">
        <v>194</v>
      </c>
      <c r="D20" s="7">
        <v>7</v>
      </c>
      <c r="F20" s="83">
        <v>130000000</v>
      </c>
      <c r="G20" s="83"/>
      <c r="H20" s="83">
        <v>0</v>
      </c>
      <c r="I20" s="69"/>
      <c r="J20" s="84">
        <v>130000000</v>
      </c>
      <c r="K20" s="84"/>
      <c r="L20" s="84">
        <v>0</v>
      </c>
      <c r="O20" s="15"/>
      <c r="P20" s="15"/>
      <c r="Q20" s="15"/>
      <c r="R20" s="15"/>
    </row>
    <row r="21" spans="1:18" x14ac:dyDescent="0.4">
      <c r="C21" s="6" t="s">
        <v>33</v>
      </c>
      <c r="D21" s="7">
        <v>2.4</v>
      </c>
      <c r="F21" s="83">
        <v>0</v>
      </c>
      <c r="G21" s="83"/>
      <c r="H21" s="83">
        <v>0</v>
      </c>
      <c r="I21" s="69"/>
      <c r="J21" s="84">
        <v>85600000</v>
      </c>
      <c r="K21" s="84"/>
      <c r="L21" s="84">
        <v>15000000</v>
      </c>
      <c r="O21" s="15"/>
      <c r="P21" s="15"/>
      <c r="Q21" s="15"/>
      <c r="R21" s="15"/>
    </row>
    <row r="22" spans="1:18" x14ac:dyDescent="0.4">
      <c r="B22" s="6" t="s">
        <v>45</v>
      </c>
      <c r="F22" s="83"/>
      <c r="G22" s="83"/>
      <c r="H22" s="83"/>
      <c r="I22" s="52"/>
      <c r="J22" s="69"/>
      <c r="K22" s="69"/>
      <c r="L22" s="69"/>
      <c r="O22" s="15"/>
      <c r="P22" s="15"/>
      <c r="Q22" s="15"/>
      <c r="R22" s="15"/>
    </row>
    <row r="23" spans="1:18" x14ac:dyDescent="0.4">
      <c r="C23" s="6" t="s">
        <v>85</v>
      </c>
      <c r="F23" s="83">
        <f>7252511.06+2985241.73</f>
        <v>10237752.789999999</v>
      </c>
      <c r="G23" s="83"/>
      <c r="H23" s="83">
        <f>7574510.65+651677.47</f>
        <v>8226188.1200000001</v>
      </c>
      <c r="I23" s="52"/>
      <c r="J23" s="69">
        <f>5594745.39+2920677.01</f>
        <v>8515422.3999999985</v>
      </c>
      <c r="K23" s="69"/>
      <c r="L23" s="69">
        <f>5515297.87+633235.27</f>
        <v>6148533.1400000006</v>
      </c>
      <c r="O23" s="15"/>
      <c r="P23" s="15"/>
      <c r="Q23" s="15"/>
      <c r="R23" s="15"/>
    </row>
    <row r="24" spans="1:18" x14ac:dyDescent="0.4">
      <c r="C24" s="6" t="s">
        <v>15</v>
      </c>
      <c r="F24" s="85">
        <f>SUM(F11:F23)</f>
        <v>1446528846.0899999</v>
      </c>
      <c r="G24" s="88"/>
      <c r="H24" s="85">
        <f>SUM(H11:H23)</f>
        <v>1982559621.4399998</v>
      </c>
      <c r="I24" s="52"/>
      <c r="J24" s="85">
        <f>SUM(J11:J23)</f>
        <v>849737741.21999991</v>
      </c>
      <c r="K24" s="88"/>
      <c r="L24" s="85">
        <f>SUM(L11:L23)</f>
        <v>1000047069.29</v>
      </c>
      <c r="O24" s="15"/>
      <c r="P24" s="15"/>
      <c r="Q24" s="15"/>
      <c r="R24" s="15"/>
    </row>
    <row r="25" spans="1:18" x14ac:dyDescent="0.4">
      <c r="F25" s="84"/>
      <c r="G25" s="84"/>
      <c r="H25" s="84"/>
      <c r="I25" s="52"/>
      <c r="J25" s="69"/>
      <c r="K25" s="69"/>
      <c r="L25" s="69"/>
      <c r="O25" s="15"/>
      <c r="P25" s="15"/>
      <c r="Q25" s="15"/>
      <c r="R25" s="15"/>
    </row>
    <row r="26" spans="1:18" x14ac:dyDescent="0.4">
      <c r="A26" s="6" t="s">
        <v>46</v>
      </c>
      <c r="F26" s="84"/>
      <c r="G26" s="84"/>
      <c r="H26" s="84"/>
      <c r="I26" s="52"/>
      <c r="J26" s="69"/>
      <c r="K26" s="69"/>
      <c r="L26" s="69"/>
      <c r="O26" s="15"/>
      <c r="P26" s="15"/>
      <c r="Q26" s="15"/>
      <c r="R26" s="15"/>
    </row>
    <row r="27" spans="1:18" hidden="1" x14ac:dyDescent="0.4">
      <c r="B27" s="6" t="s">
        <v>84</v>
      </c>
      <c r="D27" s="7">
        <v>8</v>
      </c>
      <c r="F27" s="84">
        <v>0</v>
      </c>
      <c r="G27" s="84"/>
      <c r="H27" s="84">
        <v>0</v>
      </c>
      <c r="I27" s="52"/>
      <c r="J27" s="69">
        <v>0</v>
      </c>
      <c r="K27" s="69"/>
      <c r="L27" s="69">
        <v>0</v>
      </c>
      <c r="O27" s="15"/>
      <c r="P27" s="15"/>
      <c r="Q27" s="15"/>
      <c r="R27" s="15"/>
    </row>
    <row r="28" spans="1:18" x14ac:dyDescent="0.4">
      <c r="B28" s="6" t="s">
        <v>60</v>
      </c>
      <c r="D28" s="7">
        <v>8</v>
      </c>
      <c r="F28" s="83">
        <v>0</v>
      </c>
      <c r="G28" s="83"/>
      <c r="H28" s="83">
        <v>0</v>
      </c>
      <c r="I28" s="52"/>
      <c r="J28" s="69">
        <v>58077100</v>
      </c>
      <c r="K28" s="69"/>
      <c r="L28" s="69">
        <f>60077070-1999970</f>
        <v>58077100</v>
      </c>
      <c r="O28" s="15"/>
      <c r="P28" s="15"/>
      <c r="Q28" s="15"/>
      <c r="R28" s="15"/>
    </row>
    <row r="29" spans="1:18" x14ac:dyDescent="0.4">
      <c r="B29" s="6" t="s">
        <v>53</v>
      </c>
      <c r="D29" s="7">
        <v>9</v>
      </c>
      <c r="F29" s="83">
        <v>485000550.13</v>
      </c>
      <c r="G29" s="83"/>
      <c r="H29" s="83">
        <f>360000000+554.05</f>
        <v>360000554.05000001</v>
      </c>
      <c r="I29" s="52"/>
      <c r="J29" s="69">
        <v>485000000</v>
      </c>
      <c r="K29" s="69"/>
      <c r="L29" s="69">
        <v>360000000</v>
      </c>
      <c r="O29" s="15"/>
      <c r="P29" s="15"/>
      <c r="Q29" s="15"/>
      <c r="R29" s="15"/>
    </row>
    <row r="30" spans="1:18" x14ac:dyDescent="0.4">
      <c r="B30" s="6" t="s">
        <v>195</v>
      </c>
      <c r="D30" s="7">
        <v>10</v>
      </c>
      <c r="F30" s="83">
        <v>760000000</v>
      </c>
      <c r="G30" s="83"/>
      <c r="H30" s="83">
        <v>300000000</v>
      </c>
      <c r="I30" s="52"/>
      <c r="J30" s="69">
        <v>760000000</v>
      </c>
      <c r="K30" s="69"/>
      <c r="L30" s="69">
        <v>300000000</v>
      </c>
      <c r="O30" s="15"/>
      <c r="P30" s="15"/>
      <c r="Q30" s="15"/>
      <c r="R30" s="15"/>
    </row>
    <row r="31" spans="1:18" x14ac:dyDescent="0.4">
      <c r="B31" s="6" t="s">
        <v>175</v>
      </c>
      <c r="D31" s="7">
        <v>11</v>
      </c>
      <c r="F31" s="84">
        <v>33877211.159999996</v>
      </c>
      <c r="G31" s="84"/>
      <c r="H31" s="84">
        <v>37151665.649999999</v>
      </c>
      <c r="I31" s="52"/>
      <c r="J31" s="69">
        <v>33510807.920000002</v>
      </c>
      <c r="K31" s="69"/>
      <c r="L31" s="69">
        <v>36990947.649999999</v>
      </c>
      <c r="O31" s="15"/>
      <c r="P31" s="15"/>
      <c r="Q31" s="15"/>
      <c r="R31" s="15"/>
    </row>
    <row r="32" spans="1:18" x14ac:dyDescent="0.4">
      <c r="B32" s="6" t="s">
        <v>176</v>
      </c>
      <c r="D32" s="7">
        <v>12</v>
      </c>
      <c r="F32" s="112">
        <v>7370866.1600000001</v>
      </c>
      <c r="G32" s="112"/>
      <c r="H32" s="112">
        <v>7811043.8200000003</v>
      </c>
      <c r="I32" s="46"/>
      <c r="J32" s="113">
        <v>7370866.1600000001</v>
      </c>
      <c r="K32" s="113"/>
      <c r="L32" s="113">
        <v>7811043.8200000003</v>
      </c>
      <c r="O32" s="15"/>
      <c r="P32" s="15"/>
      <c r="Q32" s="15"/>
      <c r="R32" s="15"/>
    </row>
    <row r="33" spans="1:18" x14ac:dyDescent="0.4">
      <c r="B33" s="6" t="s">
        <v>139</v>
      </c>
      <c r="D33" s="10">
        <v>19.3</v>
      </c>
      <c r="F33" s="84">
        <v>25724711.870000001</v>
      </c>
      <c r="G33" s="84"/>
      <c r="H33" s="84">
        <v>7956011.7699999996</v>
      </c>
      <c r="I33" s="52"/>
      <c r="J33" s="69">
        <v>24810367.149999999</v>
      </c>
      <c r="K33" s="69"/>
      <c r="L33" s="69">
        <v>7271118.6500000004</v>
      </c>
      <c r="O33" s="15"/>
      <c r="P33" s="15"/>
      <c r="Q33" s="15"/>
      <c r="R33" s="15"/>
    </row>
    <row r="34" spans="1:18" x14ac:dyDescent="0.4">
      <c r="B34" s="6" t="s">
        <v>47</v>
      </c>
      <c r="F34" s="84"/>
      <c r="G34" s="84"/>
      <c r="H34" s="84"/>
      <c r="I34" s="52"/>
      <c r="J34" s="69"/>
      <c r="K34" s="69"/>
      <c r="L34" s="69"/>
      <c r="O34" s="15"/>
      <c r="P34" s="15"/>
      <c r="Q34" s="15"/>
      <c r="R34" s="15"/>
    </row>
    <row r="35" spans="1:18" x14ac:dyDescent="0.4">
      <c r="C35" s="6" t="s">
        <v>32</v>
      </c>
      <c r="F35" s="84">
        <v>6536277.9000000004</v>
      </c>
      <c r="G35" s="84"/>
      <c r="H35" s="84">
        <v>3385360.57</v>
      </c>
      <c r="I35" s="52"/>
      <c r="J35" s="69">
        <v>4064767.51</v>
      </c>
      <c r="K35" s="69"/>
      <c r="L35" s="69">
        <v>1192249.28</v>
      </c>
      <c r="O35" s="15"/>
      <c r="P35" s="15"/>
      <c r="Q35" s="15"/>
      <c r="R35" s="15"/>
    </row>
    <row r="36" spans="1:18" x14ac:dyDescent="0.4">
      <c r="C36" s="6" t="s">
        <v>44</v>
      </c>
      <c r="F36" s="84">
        <v>162900</v>
      </c>
      <c r="G36" s="84"/>
      <c r="H36" s="84">
        <v>162900</v>
      </c>
      <c r="I36" s="52"/>
      <c r="J36" s="69">
        <v>162900</v>
      </c>
      <c r="K36" s="69"/>
      <c r="L36" s="69">
        <v>162900</v>
      </c>
      <c r="O36" s="15"/>
      <c r="P36" s="15"/>
      <c r="Q36" s="15"/>
      <c r="R36" s="15"/>
    </row>
    <row r="37" spans="1:18" x14ac:dyDescent="0.4">
      <c r="C37" s="6" t="s">
        <v>16</v>
      </c>
      <c r="F37" s="85">
        <f>SUM(F27:F36)</f>
        <v>1318672517.2200003</v>
      </c>
      <c r="G37" s="88"/>
      <c r="H37" s="85">
        <f>SUM(H27:H36)</f>
        <v>716467535.86000001</v>
      </c>
      <c r="I37" s="52"/>
      <c r="J37" s="85">
        <f>SUM(J27:J36)</f>
        <v>1372996808.7400002</v>
      </c>
      <c r="K37" s="88"/>
      <c r="L37" s="85">
        <f>SUM(L27:L36)</f>
        <v>771505359.39999998</v>
      </c>
      <c r="O37" s="15"/>
      <c r="P37" s="15"/>
      <c r="Q37" s="15"/>
      <c r="R37" s="15"/>
    </row>
    <row r="38" spans="1:18" ht="18.75" thickBot="1" x14ac:dyDescent="0.45">
      <c r="A38" s="6" t="s">
        <v>48</v>
      </c>
      <c r="F38" s="86">
        <f>+F37+F24</f>
        <v>2765201363.3100004</v>
      </c>
      <c r="G38" s="88"/>
      <c r="H38" s="86">
        <f>+H37+H24</f>
        <v>2699027157.2999997</v>
      </c>
      <c r="I38" s="52"/>
      <c r="J38" s="86">
        <f>+J37+J24</f>
        <v>2222734549.96</v>
      </c>
      <c r="K38" s="88"/>
      <c r="L38" s="86">
        <f>+L37+L24</f>
        <v>1771552428.6900001</v>
      </c>
      <c r="O38" s="15"/>
      <c r="P38" s="15"/>
      <c r="Q38" s="15"/>
      <c r="R38" s="15"/>
    </row>
    <row r="39" spans="1:18" ht="18.75" thickTop="1" x14ac:dyDescent="0.4">
      <c r="F39" s="87"/>
      <c r="G39" s="87"/>
      <c r="H39" s="87"/>
      <c r="I39" s="52"/>
      <c r="J39" s="88"/>
      <c r="K39" s="88"/>
      <c r="L39" s="88"/>
      <c r="O39" s="15"/>
      <c r="P39" s="15"/>
      <c r="Q39" s="15"/>
      <c r="R39" s="15"/>
    </row>
    <row r="40" spans="1:18" x14ac:dyDescent="0.4">
      <c r="A40" s="6" t="s">
        <v>146</v>
      </c>
      <c r="F40" s="87"/>
      <c r="G40" s="87"/>
      <c r="H40" s="87"/>
      <c r="I40" s="52"/>
      <c r="J40" s="69"/>
      <c r="K40" s="69"/>
      <c r="L40" s="69"/>
      <c r="O40" s="15"/>
      <c r="P40" s="15"/>
      <c r="Q40" s="15"/>
      <c r="R40" s="15"/>
    </row>
    <row r="41" spans="1:18" x14ac:dyDescent="0.4">
      <c r="F41" s="87"/>
      <c r="G41" s="87"/>
      <c r="H41" s="87"/>
      <c r="I41" s="52"/>
      <c r="J41" s="69"/>
      <c r="K41" s="69"/>
      <c r="L41" s="69"/>
      <c r="O41" s="15"/>
      <c r="P41" s="15"/>
      <c r="Q41" s="15"/>
      <c r="R41" s="15"/>
    </row>
    <row r="42" spans="1:18" x14ac:dyDescent="0.4">
      <c r="O42" s="15"/>
      <c r="P42" s="15"/>
      <c r="Q42" s="15"/>
      <c r="R42" s="15"/>
    </row>
    <row r="43" spans="1:18" ht="13.5" customHeight="1" x14ac:dyDescent="0.4">
      <c r="O43" s="15"/>
      <c r="P43" s="15"/>
      <c r="Q43" s="15"/>
      <c r="R43" s="15"/>
    </row>
    <row r="44" spans="1:18" x14ac:dyDescent="0.4">
      <c r="A44" s="7"/>
      <c r="B44" s="21" t="s">
        <v>163</v>
      </c>
      <c r="C44" s="7"/>
      <c r="D44" s="21"/>
      <c r="G44" s="21"/>
      <c r="H44" s="21" t="s">
        <v>162</v>
      </c>
      <c r="I44" s="7"/>
      <c r="J44" s="7"/>
      <c r="K44" s="7"/>
      <c r="L44" s="7"/>
      <c r="O44" s="15"/>
      <c r="P44" s="15"/>
      <c r="Q44" s="15"/>
      <c r="R44" s="15"/>
    </row>
    <row r="45" spans="1:18" x14ac:dyDescent="0.4">
      <c r="A45" s="130"/>
      <c r="B45" s="130"/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O45" s="15"/>
      <c r="P45" s="15"/>
      <c r="Q45" s="15"/>
      <c r="R45" s="15"/>
    </row>
    <row r="46" spans="1:18" x14ac:dyDescent="0.4">
      <c r="A46" s="21"/>
      <c r="B46" s="22"/>
      <c r="C46" s="7"/>
      <c r="I46" s="7"/>
      <c r="J46" s="7"/>
      <c r="K46" s="7"/>
      <c r="L46" s="7"/>
      <c r="O46" s="15"/>
      <c r="P46" s="15"/>
      <c r="Q46" s="15"/>
      <c r="R46" s="15"/>
    </row>
    <row r="47" spans="1:18" x14ac:dyDescent="0.4">
      <c r="A47" s="131" t="str">
        <f>+A2</f>
        <v>บริษัท บรุ๊คเคอร์ กรุ๊ป จำกัด (มหาชน) และบริษัทย่อย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O47" s="15"/>
      <c r="P47" s="15"/>
      <c r="Q47" s="15"/>
      <c r="R47" s="15"/>
    </row>
    <row r="48" spans="1:18" x14ac:dyDescent="0.4">
      <c r="A48" s="131" t="str">
        <f>+A3</f>
        <v>งบแสดงฐานะการเงิน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O48" s="15"/>
      <c r="P48" s="15"/>
      <c r="Q48" s="15"/>
      <c r="R48" s="15"/>
    </row>
    <row r="49" spans="1:18" x14ac:dyDescent="0.4">
      <c r="A49" s="131" t="str">
        <f>+A4</f>
        <v>ณ วันที่ 31 ธันวาคม 2561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O49" s="15"/>
      <c r="P49" s="15"/>
      <c r="Q49" s="15"/>
      <c r="R49" s="15"/>
    </row>
    <row r="50" spans="1:18" ht="21" customHeight="1" x14ac:dyDescent="0.4">
      <c r="D50" s="6"/>
      <c r="E50" s="6"/>
      <c r="F50" s="128" t="s">
        <v>13</v>
      </c>
      <c r="G50" s="128"/>
      <c r="H50" s="128"/>
      <c r="I50" s="128"/>
      <c r="J50" s="128"/>
      <c r="K50" s="128"/>
      <c r="L50" s="128"/>
      <c r="O50" s="15"/>
      <c r="P50" s="15"/>
      <c r="Q50" s="15"/>
      <c r="R50" s="15"/>
    </row>
    <row r="51" spans="1:18" x14ac:dyDescent="0.4">
      <c r="D51" s="6"/>
      <c r="E51" s="6"/>
      <c r="F51" s="129" t="s">
        <v>34</v>
      </c>
      <c r="G51" s="129"/>
      <c r="H51" s="129"/>
      <c r="J51" s="133" t="s">
        <v>35</v>
      </c>
      <c r="K51" s="133"/>
      <c r="L51" s="133"/>
      <c r="O51" s="15"/>
      <c r="P51" s="15"/>
      <c r="Q51" s="15"/>
      <c r="R51" s="15"/>
    </row>
    <row r="52" spans="1:18" x14ac:dyDescent="0.4">
      <c r="D52" s="39" t="s">
        <v>40</v>
      </c>
      <c r="E52" s="24"/>
      <c r="F52" s="41" t="str">
        <f>+F7</f>
        <v>31 ธันวาคม 2561</v>
      </c>
      <c r="G52" s="30"/>
      <c r="H52" s="41" t="str">
        <f>+H7</f>
        <v>31 ธันวาคม 2560</v>
      </c>
      <c r="J52" s="41" t="str">
        <f>+J7</f>
        <v>31 ธันวาคม 2561</v>
      </c>
      <c r="K52" s="25"/>
      <c r="L52" s="41" t="str">
        <f>+L7</f>
        <v>31 ธันวาคม 2560</v>
      </c>
      <c r="O52" s="15"/>
      <c r="P52" s="15"/>
      <c r="Q52" s="15"/>
      <c r="R52" s="15"/>
    </row>
    <row r="53" spans="1:18" s="53" customFormat="1" ht="16.5" x14ac:dyDescent="0.35">
      <c r="D53" s="49"/>
      <c r="E53" s="49"/>
      <c r="F53" s="70"/>
      <c r="G53" s="70"/>
      <c r="H53" s="70"/>
      <c r="I53" s="54"/>
      <c r="J53" s="70"/>
      <c r="K53" s="70"/>
      <c r="L53" s="70"/>
      <c r="M53" s="49"/>
      <c r="N53" s="49"/>
    </row>
    <row r="54" spans="1:18" ht="18" customHeight="1" x14ac:dyDescent="0.4">
      <c r="A54" s="134" t="s">
        <v>8</v>
      </c>
      <c r="B54" s="134"/>
      <c r="C54" s="134"/>
      <c r="D54" s="24"/>
      <c r="E54" s="24"/>
      <c r="F54" s="25"/>
      <c r="G54" s="25"/>
      <c r="H54" s="25"/>
      <c r="J54" s="25"/>
      <c r="K54" s="25"/>
      <c r="L54" s="25"/>
      <c r="O54" s="15"/>
      <c r="P54" s="15"/>
      <c r="Q54" s="15"/>
      <c r="R54" s="15"/>
    </row>
    <row r="55" spans="1:18" x14ac:dyDescent="0.4">
      <c r="A55" s="6" t="s">
        <v>49</v>
      </c>
      <c r="F55" s="84"/>
      <c r="G55" s="84"/>
      <c r="H55" s="84"/>
      <c r="I55" s="52"/>
      <c r="J55" s="69"/>
      <c r="K55" s="69"/>
      <c r="L55" s="69"/>
      <c r="O55" s="15"/>
      <c r="P55" s="15"/>
      <c r="Q55" s="15"/>
      <c r="R55" s="15"/>
    </row>
    <row r="56" spans="1:18" x14ac:dyDescent="0.4">
      <c r="B56" s="6" t="s">
        <v>196</v>
      </c>
      <c r="D56" s="7">
        <v>15</v>
      </c>
      <c r="F56" s="84">
        <v>500000000</v>
      </c>
      <c r="G56" s="84"/>
      <c r="H56" s="84">
        <v>100000000</v>
      </c>
      <c r="I56" s="52"/>
      <c r="J56" s="69">
        <v>500000000</v>
      </c>
      <c r="K56" s="69"/>
      <c r="L56" s="69">
        <v>100000000</v>
      </c>
      <c r="O56" s="15"/>
      <c r="P56" s="15"/>
      <c r="Q56" s="15"/>
      <c r="R56" s="15"/>
    </row>
    <row r="57" spans="1:18" x14ac:dyDescent="0.4">
      <c r="B57" s="6" t="s">
        <v>86</v>
      </c>
      <c r="F57" s="83"/>
      <c r="G57" s="83"/>
      <c r="H57" s="83"/>
      <c r="I57" s="52"/>
      <c r="J57" s="69"/>
      <c r="K57" s="69"/>
      <c r="L57" s="69"/>
      <c r="O57" s="15"/>
      <c r="P57" s="15"/>
      <c r="Q57" s="15"/>
      <c r="R57" s="15"/>
    </row>
    <row r="58" spans="1:18" x14ac:dyDescent="0.4">
      <c r="C58" s="6" t="s">
        <v>87</v>
      </c>
      <c r="D58" s="7">
        <v>13</v>
      </c>
      <c r="F58" s="83">
        <v>3057889.62</v>
      </c>
      <c r="G58" s="83"/>
      <c r="H58" s="83">
        <f>761911.94+1835627.01</f>
        <v>2597538.9500000002</v>
      </c>
      <c r="I58" s="52"/>
      <c r="J58" s="69">
        <v>0</v>
      </c>
      <c r="K58" s="69"/>
      <c r="L58" s="69">
        <v>0</v>
      </c>
      <c r="O58" s="15"/>
      <c r="P58" s="15"/>
      <c r="Q58" s="15"/>
      <c r="R58" s="15"/>
    </row>
    <row r="59" spans="1:18" x14ac:dyDescent="0.4">
      <c r="C59" s="6" t="s">
        <v>33</v>
      </c>
      <c r="D59" s="7">
        <v>2.5</v>
      </c>
      <c r="F59" s="83">
        <v>0</v>
      </c>
      <c r="G59" s="83"/>
      <c r="H59" s="83">
        <v>0</v>
      </c>
      <c r="I59" s="52"/>
      <c r="J59" s="69">
        <v>0</v>
      </c>
      <c r="K59" s="69"/>
      <c r="L59" s="69">
        <f>9630000+83340000</f>
        <v>92970000</v>
      </c>
      <c r="O59" s="15"/>
      <c r="P59" s="15"/>
      <c r="Q59" s="15"/>
      <c r="R59" s="15"/>
    </row>
    <row r="60" spans="1:18" x14ac:dyDescent="0.4">
      <c r="B60" s="6" t="s">
        <v>132</v>
      </c>
      <c r="F60" s="83"/>
      <c r="G60" s="83"/>
      <c r="H60" s="83"/>
      <c r="I60" s="52"/>
      <c r="J60" s="69"/>
      <c r="K60" s="69"/>
      <c r="L60" s="69"/>
      <c r="O60" s="15"/>
      <c r="P60" s="15"/>
      <c r="Q60" s="15"/>
      <c r="R60" s="15"/>
    </row>
    <row r="61" spans="1:18" s="120" customFormat="1" x14ac:dyDescent="0.4">
      <c r="A61" s="6"/>
      <c r="B61" s="6"/>
      <c r="C61" s="6" t="s">
        <v>87</v>
      </c>
      <c r="D61" s="10">
        <v>14</v>
      </c>
      <c r="E61" s="7"/>
      <c r="F61" s="83">
        <f>3443046.54+296503.04+20348666.59</f>
        <v>24088216.170000002</v>
      </c>
      <c r="G61" s="83"/>
      <c r="H61" s="83">
        <f>5703000+75979.54+26504854.85</f>
        <v>32283834.390000001</v>
      </c>
      <c r="I61" s="52"/>
      <c r="J61" s="69">
        <f>3443046.54+295812.89+17868468.98</f>
        <v>21607328.41</v>
      </c>
      <c r="K61" s="69"/>
      <c r="L61" s="69">
        <f>5703000+75273.34+23435747.02</f>
        <v>29214020.359999999</v>
      </c>
      <c r="M61" s="121"/>
      <c r="N61" s="121"/>
      <c r="O61" s="121"/>
      <c r="P61" s="121"/>
      <c r="Q61" s="121"/>
      <c r="R61" s="121"/>
    </row>
    <row r="62" spans="1:18" x14ac:dyDescent="0.4">
      <c r="C62" s="6" t="s">
        <v>33</v>
      </c>
      <c r="D62" s="10">
        <v>2.6</v>
      </c>
      <c r="F62" s="83">
        <v>0</v>
      </c>
      <c r="G62" s="83"/>
      <c r="H62" s="83">
        <v>0</v>
      </c>
      <c r="I62" s="52"/>
      <c r="J62" s="69">
        <v>0</v>
      </c>
      <c r="K62" s="69"/>
      <c r="L62" s="69">
        <v>5329025.17</v>
      </c>
      <c r="O62" s="15"/>
      <c r="P62" s="15"/>
      <c r="Q62" s="15"/>
      <c r="R62" s="15"/>
    </row>
    <row r="63" spans="1:18" x14ac:dyDescent="0.4">
      <c r="B63" s="6" t="s">
        <v>154</v>
      </c>
      <c r="F63" s="83"/>
      <c r="G63" s="83"/>
      <c r="H63" s="83"/>
      <c r="O63" s="15"/>
      <c r="P63" s="15"/>
      <c r="Q63" s="15"/>
      <c r="R63" s="15"/>
    </row>
    <row r="64" spans="1:18" hidden="1" x14ac:dyDescent="0.4">
      <c r="C64" s="6" t="s">
        <v>87</v>
      </c>
      <c r="F64" s="83"/>
      <c r="G64" s="83"/>
      <c r="H64" s="83"/>
      <c r="I64" s="52"/>
      <c r="J64" s="83"/>
      <c r="K64" s="83"/>
      <c r="L64" s="83"/>
      <c r="O64" s="15"/>
      <c r="P64" s="15"/>
      <c r="Q64" s="15"/>
      <c r="R64" s="15"/>
    </row>
    <row r="65" spans="1:18" x14ac:dyDescent="0.4">
      <c r="C65" s="6" t="s">
        <v>33</v>
      </c>
      <c r="D65" s="7">
        <v>2.7</v>
      </c>
      <c r="F65" s="83">
        <v>0</v>
      </c>
      <c r="G65" s="83"/>
      <c r="H65" s="83">
        <v>0</v>
      </c>
      <c r="I65" s="52"/>
      <c r="J65" s="83">
        <v>30000000</v>
      </c>
      <c r="K65" s="83"/>
      <c r="L65" s="83">
        <f>131388800+11000000</f>
        <v>142388800</v>
      </c>
      <c r="O65" s="15"/>
      <c r="P65" s="15"/>
      <c r="Q65" s="15"/>
      <c r="R65" s="15"/>
    </row>
    <row r="66" spans="1:18" x14ac:dyDescent="0.4">
      <c r="B66" s="6" t="s">
        <v>98</v>
      </c>
      <c r="F66" s="83">
        <v>15758408.779999999</v>
      </c>
      <c r="G66" s="83"/>
      <c r="H66" s="83">
        <v>5165386.79</v>
      </c>
      <c r="I66" s="52"/>
      <c r="J66" s="83">
        <v>15758408.779999999</v>
      </c>
      <c r="K66" s="83"/>
      <c r="L66" s="83">
        <v>5165386.79</v>
      </c>
      <c r="O66" s="15"/>
      <c r="P66" s="15"/>
      <c r="Q66" s="15"/>
      <c r="R66" s="15"/>
    </row>
    <row r="67" spans="1:18" s="120" customFormat="1" x14ac:dyDescent="0.4">
      <c r="A67" s="6"/>
      <c r="B67" s="123" t="s">
        <v>187</v>
      </c>
      <c r="C67" s="6"/>
      <c r="D67" s="7">
        <v>16</v>
      </c>
      <c r="E67" s="7"/>
      <c r="F67" s="83">
        <v>0</v>
      </c>
      <c r="G67" s="83"/>
      <c r="H67" s="83">
        <f>9471502-22615.95-323085.06</f>
        <v>9125800.9900000002</v>
      </c>
      <c r="I67" s="52"/>
      <c r="J67" s="69">
        <v>0</v>
      </c>
      <c r="K67" s="69"/>
      <c r="L67" s="69">
        <f>9471502-22615.95-323085.06</f>
        <v>9125800.9900000002</v>
      </c>
      <c r="M67" s="121"/>
      <c r="N67" s="121"/>
      <c r="O67" s="121"/>
      <c r="P67" s="121"/>
      <c r="Q67" s="121"/>
      <c r="R67" s="121"/>
    </row>
    <row r="68" spans="1:18" x14ac:dyDescent="0.4">
      <c r="B68" s="6" t="s">
        <v>50</v>
      </c>
      <c r="D68" s="10"/>
      <c r="F68" s="83"/>
      <c r="G68" s="83"/>
      <c r="H68" s="83"/>
      <c r="I68" s="52"/>
      <c r="J68" s="69"/>
      <c r="K68" s="69"/>
      <c r="L68" s="69"/>
      <c r="O68" s="15"/>
      <c r="P68" s="15"/>
      <c r="Q68" s="15"/>
      <c r="R68" s="15"/>
    </row>
    <row r="69" spans="1:18" x14ac:dyDescent="0.4">
      <c r="C69" s="6" t="s">
        <v>88</v>
      </c>
      <c r="D69" s="10"/>
      <c r="F69" s="83">
        <v>3302097.29</v>
      </c>
      <c r="G69" s="83"/>
      <c r="H69" s="83">
        <v>1382528</v>
      </c>
      <c r="I69" s="84"/>
      <c r="J69" s="83">
        <v>3291597.29</v>
      </c>
      <c r="K69" s="83"/>
      <c r="L69" s="83">
        <v>742028</v>
      </c>
      <c r="O69" s="15"/>
      <c r="P69" s="15"/>
      <c r="Q69" s="15"/>
      <c r="R69" s="15"/>
    </row>
    <row r="70" spans="1:18" x14ac:dyDescent="0.4">
      <c r="C70" s="6" t="s">
        <v>44</v>
      </c>
      <c r="D70" s="10"/>
      <c r="F70" s="83">
        <f>626272.88+3194527.19+141102.44+42558</f>
        <v>4004460.51</v>
      </c>
      <c r="G70" s="83"/>
      <c r="H70" s="83">
        <f>542107.42+237896.17+91416.23+43982</f>
        <v>915401.82000000007</v>
      </c>
      <c r="I70" s="52"/>
      <c r="J70" s="69">
        <f>551214.86+3194527.19+73631.76+32172</f>
        <v>3851545.8099999996</v>
      </c>
      <c r="K70" s="69"/>
      <c r="L70" s="69">
        <f>518572.51+219500.17+13446.47+32138</f>
        <v>783657.15</v>
      </c>
      <c r="O70" s="15"/>
      <c r="P70" s="15"/>
      <c r="Q70" s="15"/>
      <c r="R70" s="15"/>
    </row>
    <row r="71" spans="1:18" x14ac:dyDescent="0.4">
      <c r="C71" s="6" t="s">
        <v>104</v>
      </c>
      <c r="D71" s="10"/>
      <c r="F71" s="85">
        <f>SUM(F56:F70)</f>
        <v>550211072.37</v>
      </c>
      <c r="G71" s="88"/>
      <c r="H71" s="85">
        <f>SUM(H56:H70)</f>
        <v>151470490.94</v>
      </c>
      <c r="I71" s="52"/>
      <c r="J71" s="85">
        <f>SUM(J56:J70)</f>
        <v>574508880.28999996</v>
      </c>
      <c r="K71" s="88"/>
      <c r="L71" s="85">
        <f>SUM(L56:L70)</f>
        <v>385718718.45999998</v>
      </c>
      <c r="O71" s="15"/>
      <c r="P71" s="15"/>
      <c r="Q71" s="15"/>
      <c r="R71" s="15"/>
    </row>
    <row r="72" spans="1:18" x14ac:dyDescent="0.4">
      <c r="D72" s="10"/>
      <c r="F72" s="84"/>
      <c r="G72" s="84"/>
      <c r="H72" s="84"/>
      <c r="I72" s="52"/>
      <c r="J72" s="69"/>
      <c r="K72" s="69"/>
      <c r="L72" s="69"/>
      <c r="O72" s="15"/>
      <c r="P72" s="15"/>
      <c r="Q72" s="15"/>
      <c r="R72" s="15"/>
    </row>
    <row r="73" spans="1:18" x14ac:dyDescent="0.4">
      <c r="A73" s="6" t="s">
        <v>51</v>
      </c>
      <c r="D73" s="10"/>
      <c r="F73" s="84"/>
      <c r="G73" s="84"/>
      <c r="H73" s="84"/>
      <c r="I73" s="52"/>
      <c r="J73" s="69"/>
      <c r="K73" s="69"/>
      <c r="L73" s="69"/>
      <c r="O73" s="15"/>
      <c r="P73" s="15"/>
      <c r="Q73" s="15"/>
      <c r="R73" s="15"/>
    </row>
    <row r="74" spans="1:18" s="120" customFormat="1" x14ac:dyDescent="0.4">
      <c r="A74" s="6"/>
      <c r="B74" s="6" t="s">
        <v>188</v>
      </c>
      <c r="C74" s="6"/>
      <c r="D74" s="10">
        <v>16</v>
      </c>
      <c r="E74" s="7"/>
      <c r="F74" s="84">
        <v>0</v>
      </c>
      <c r="G74" s="84"/>
      <c r="H74" s="84">
        <v>0</v>
      </c>
      <c r="I74" s="52"/>
      <c r="J74" s="69">
        <v>0</v>
      </c>
      <c r="K74" s="69"/>
      <c r="L74" s="69">
        <v>0</v>
      </c>
      <c r="M74" s="121"/>
      <c r="N74" s="121"/>
      <c r="O74" s="121"/>
      <c r="P74" s="121"/>
      <c r="Q74" s="121"/>
      <c r="R74" s="121"/>
    </row>
    <row r="75" spans="1:18" x14ac:dyDescent="0.4">
      <c r="B75" s="6" t="s">
        <v>140</v>
      </c>
      <c r="D75" s="10">
        <v>19.3</v>
      </c>
      <c r="F75" s="84">
        <v>0</v>
      </c>
      <c r="G75" s="84"/>
      <c r="H75" s="84">
        <v>19730444.5</v>
      </c>
      <c r="I75" s="52"/>
      <c r="J75" s="69">
        <v>0</v>
      </c>
      <c r="K75" s="69"/>
      <c r="L75" s="69">
        <v>19695788.899999999</v>
      </c>
      <c r="O75" s="15"/>
      <c r="P75" s="15"/>
      <c r="Q75" s="15"/>
      <c r="R75" s="15"/>
    </row>
    <row r="76" spans="1:18" x14ac:dyDescent="0.4">
      <c r="B76" s="6" t="s">
        <v>105</v>
      </c>
      <c r="D76" s="10">
        <v>17</v>
      </c>
      <c r="F76" s="83">
        <v>25649866</v>
      </c>
      <c r="G76" s="83"/>
      <c r="H76" s="83">
        <v>25844393</v>
      </c>
      <c r="I76" s="69"/>
      <c r="J76" s="69">
        <v>23744276</v>
      </c>
      <c r="K76" s="69"/>
      <c r="L76" s="69">
        <v>23855531</v>
      </c>
      <c r="O76" s="15"/>
      <c r="P76" s="15"/>
      <c r="Q76" s="15"/>
      <c r="R76" s="15"/>
    </row>
    <row r="77" spans="1:18" x14ac:dyDescent="0.4">
      <c r="C77" s="6" t="s">
        <v>17</v>
      </c>
      <c r="D77" s="10"/>
      <c r="F77" s="85">
        <f>SUM(F74:F76)</f>
        <v>25649866</v>
      </c>
      <c r="G77" s="88"/>
      <c r="H77" s="85">
        <f>SUM(H74:H76)</f>
        <v>45574837.5</v>
      </c>
      <c r="I77" s="69"/>
      <c r="J77" s="85">
        <f>SUM(J74:J76)</f>
        <v>23744276</v>
      </c>
      <c r="K77" s="88"/>
      <c r="L77" s="85">
        <f>SUM(L74:L76)</f>
        <v>43551319.899999999</v>
      </c>
      <c r="O77" s="15"/>
      <c r="P77" s="15"/>
      <c r="Q77" s="15"/>
      <c r="R77" s="15"/>
    </row>
    <row r="78" spans="1:18" x14ac:dyDescent="0.4">
      <c r="D78" s="10"/>
      <c r="F78" s="88"/>
      <c r="G78" s="88"/>
      <c r="H78" s="88"/>
      <c r="I78" s="88"/>
      <c r="J78" s="88"/>
      <c r="K78" s="88"/>
      <c r="L78" s="88"/>
      <c r="O78" s="15"/>
      <c r="P78" s="15"/>
      <c r="Q78" s="15"/>
      <c r="R78" s="15"/>
    </row>
    <row r="79" spans="1:18" x14ac:dyDescent="0.4">
      <c r="C79" s="6" t="s">
        <v>18</v>
      </c>
      <c r="D79" s="10"/>
      <c r="F79" s="90">
        <f>+F77+F71</f>
        <v>575860938.37</v>
      </c>
      <c r="G79" s="88"/>
      <c r="H79" s="90">
        <f>+H77+H71</f>
        <v>197045328.44</v>
      </c>
      <c r="I79" s="52"/>
      <c r="J79" s="90">
        <f>+J77+J71</f>
        <v>598253156.28999996</v>
      </c>
      <c r="K79" s="88"/>
      <c r="L79" s="90">
        <f>+L77+L71</f>
        <v>429270038.35999995</v>
      </c>
      <c r="O79" s="15"/>
      <c r="P79" s="15"/>
      <c r="Q79" s="15"/>
      <c r="R79" s="15"/>
    </row>
    <row r="80" spans="1:18" x14ac:dyDescent="0.4">
      <c r="D80" s="10"/>
      <c r="F80" s="84"/>
      <c r="G80" s="84"/>
      <c r="H80" s="84"/>
      <c r="I80" s="52"/>
      <c r="J80" s="88"/>
      <c r="K80" s="88"/>
      <c r="L80" s="88"/>
      <c r="O80" s="15"/>
      <c r="P80" s="15"/>
      <c r="Q80" s="15"/>
      <c r="R80" s="15"/>
    </row>
    <row r="81" spans="1:18" x14ac:dyDescent="0.4">
      <c r="A81" s="6" t="s">
        <v>146</v>
      </c>
      <c r="D81" s="10"/>
      <c r="F81" s="27"/>
      <c r="G81" s="27"/>
      <c r="H81" s="27"/>
      <c r="J81" s="14"/>
      <c r="K81" s="14"/>
      <c r="L81" s="14"/>
      <c r="O81" s="15"/>
      <c r="P81" s="15"/>
      <c r="Q81" s="15"/>
      <c r="R81" s="15"/>
    </row>
    <row r="82" spans="1:18" x14ac:dyDescent="0.4">
      <c r="D82" s="10"/>
      <c r="F82" s="27"/>
      <c r="G82" s="27"/>
      <c r="H82" s="27"/>
      <c r="J82" s="14"/>
      <c r="K82" s="14"/>
      <c r="L82" s="14"/>
      <c r="O82" s="15"/>
      <c r="P82" s="15"/>
      <c r="Q82" s="15"/>
      <c r="R82" s="15"/>
    </row>
    <row r="83" spans="1:18" x14ac:dyDescent="0.4">
      <c r="D83" s="10"/>
      <c r="F83" s="27"/>
      <c r="G83" s="27"/>
      <c r="H83" s="27"/>
      <c r="J83" s="14"/>
      <c r="K83" s="14"/>
      <c r="L83" s="14"/>
      <c r="O83" s="15"/>
      <c r="P83" s="15"/>
      <c r="Q83" s="15"/>
      <c r="R83" s="15"/>
    </row>
    <row r="84" spans="1:18" x14ac:dyDescent="0.4">
      <c r="D84" s="10"/>
      <c r="F84" s="27"/>
      <c r="G84" s="27"/>
      <c r="H84" s="27"/>
      <c r="J84" s="14"/>
      <c r="K84" s="14"/>
      <c r="L84" s="14"/>
      <c r="O84" s="15"/>
      <c r="P84" s="15"/>
      <c r="Q84" s="15"/>
      <c r="R84" s="15"/>
    </row>
    <row r="85" spans="1:18" x14ac:dyDescent="0.4">
      <c r="D85" s="10"/>
      <c r="F85" s="27"/>
      <c r="G85" s="27"/>
      <c r="H85" s="27"/>
      <c r="J85" s="14"/>
      <c r="K85" s="14"/>
      <c r="L85" s="14"/>
      <c r="O85" s="15"/>
      <c r="P85" s="15"/>
      <c r="Q85" s="15"/>
      <c r="R85" s="15"/>
    </row>
    <row r="86" spans="1:18" x14ac:dyDescent="0.4">
      <c r="D86" s="10"/>
      <c r="F86" s="27"/>
      <c r="G86" s="27"/>
      <c r="H86" s="27"/>
      <c r="J86" s="14"/>
      <c r="K86" s="14"/>
      <c r="L86" s="14"/>
      <c r="O86" s="15"/>
      <c r="P86" s="15"/>
      <c r="Q86" s="15"/>
      <c r="R86" s="15"/>
    </row>
    <row r="87" spans="1:18" x14ac:dyDescent="0.4">
      <c r="D87" s="10"/>
      <c r="F87" s="27"/>
      <c r="G87" s="27"/>
      <c r="H87" s="27"/>
      <c r="J87" s="14"/>
      <c r="K87" s="14"/>
      <c r="L87" s="14"/>
      <c r="O87" s="15"/>
      <c r="P87" s="15"/>
      <c r="Q87" s="15"/>
      <c r="R87" s="15"/>
    </row>
    <row r="88" spans="1:18" x14ac:dyDescent="0.4">
      <c r="D88" s="10"/>
      <c r="F88" s="27"/>
      <c r="G88" s="27"/>
      <c r="H88" s="27"/>
      <c r="J88" s="14"/>
      <c r="K88" s="14"/>
      <c r="L88" s="14"/>
      <c r="O88" s="15"/>
      <c r="P88" s="15"/>
      <c r="Q88" s="15"/>
      <c r="R88" s="15"/>
    </row>
    <row r="89" spans="1:18" x14ac:dyDescent="0.4">
      <c r="A89" s="7"/>
      <c r="B89" s="21" t="s">
        <v>163</v>
      </c>
      <c r="C89" s="7"/>
      <c r="D89" s="21"/>
      <c r="G89" s="21"/>
      <c r="H89" s="21" t="s">
        <v>162</v>
      </c>
      <c r="I89" s="7"/>
      <c r="J89" s="7"/>
      <c r="K89" s="7"/>
      <c r="L89" s="7"/>
      <c r="O89" s="15"/>
      <c r="P89" s="15"/>
      <c r="Q89" s="15"/>
      <c r="R89" s="15"/>
    </row>
    <row r="90" spans="1:18" x14ac:dyDescent="0.4">
      <c r="D90" s="10"/>
      <c r="F90" s="27"/>
      <c r="G90" s="27"/>
      <c r="H90" s="27"/>
      <c r="J90" s="14"/>
      <c r="K90" s="14"/>
      <c r="L90" s="14"/>
      <c r="O90" s="15"/>
      <c r="P90" s="15"/>
      <c r="Q90" s="15"/>
      <c r="R90" s="15"/>
    </row>
    <row r="91" spans="1:18" x14ac:dyDescent="0.4">
      <c r="D91" s="10"/>
      <c r="F91" s="27"/>
      <c r="G91" s="27"/>
      <c r="H91" s="27"/>
      <c r="J91" s="14"/>
      <c r="K91" s="14"/>
      <c r="L91" s="14"/>
      <c r="O91" s="15"/>
      <c r="P91" s="15"/>
      <c r="Q91" s="15"/>
      <c r="R91" s="15"/>
    </row>
    <row r="92" spans="1:18" x14ac:dyDescent="0.4">
      <c r="A92" s="130"/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O92" s="15"/>
      <c r="P92" s="15"/>
      <c r="Q92" s="15"/>
      <c r="R92" s="15"/>
    </row>
    <row r="93" spans="1:18" x14ac:dyDescent="0.4">
      <c r="D93" s="29"/>
      <c r="E93" s="29"/>
      <c r="F93" s="14"/>
      <c r="G93" s="14"/>
      <c r="H93" s="14"/>
      <c r="J93" s="14"/>
      <c r="K93" s="14"/>
      <c r="L93" s="14"/>
      <c r="O93" s="15"/>
      <c r="P93" s="15"/>
      <c r="Q93" s="15"/>
      <c r="R93" s="15"/>
    </row>
    <row r="94" spans="1:18" x14ac:dyDescent="0.4">
      <c r="A94" s="131" t="str">
        <f>+A47</f>
        <v>บริษัท บรุ๊คเคอร์ กรุ๊ป จำกัด (มหาชน) และบริษัทย่อย</v>
      </c>
      <c r="B94" s="131"/>
      <c r="C94" s="131"/>
      <c r="D94" s="131"/>
      <c r="E94" s="131"/>
      <c r="F94" s="131"/>
      <c r="G94" s="131"/>
      <c r="H94" s="131"/>
      <c r="I94" s="131"/>
      <c r="J94" s="131"/>
      <c r="K94" s="131"/>
      <c r="L94" s="131"/>
      <c r="O94" s="15"/>
      <c r="P94" s="15"/>
      <c r="Q94" s="15"/>
      <c r="R94" s="15"/>
    </row>
    <row r="95" spans="1:18" x14ac:dyDescent="0.4">
      <c r="A95" s="132" t="str">
        <f>+A48</f>
        <v>งบแสดงฐานะการเงิน</v>
      </c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O95" s="15"/>
      <c r="P95" s="15"/>
      <c r="Q95" s="15"/>
      <c r="R95" s="15"/>
    </row>
    <row r="96" spans="1:18" x14ac:dyDescent="0.4">
      <c r="A96" s="132" t="str">
        <f>+A49</f>
        <v>ณ วันที่ 31 ธันวาคม 2561</v>
      </c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O96" s="15"/>
      <c r="P96" s="15"/>
      <c r="Q96" s="15"/>
      <c r="R96" s="15"/>
    </row>
    <row r="97" spans="1:18" x14ac:dyDescent="0.4">
      <c r="F97" s="128" t="s">
        <v>13</v>
      </c>
      <c r="G97" s="128"/>
      <c r="H97" s="128"/>
      <c r="I97" s="128"/>
      <c r="J97" s="128"/>
      <c r="K97" s="128"/>
      <c r="L97" s="128"/>
      <c r="O97" s="15"/>
      <c r="P97" s="15"/>
      <c r="Q97" s="15"/>
      <c r="R97" s="15"/>
    </row>
    <row r="98" spans="1:18" x14ac:dyDescent="0.4">
      <c r="F98" s="129" t="s">
        <v>34</v>
      </c>
      <c r="G98" s="129"/>
      <c r="H98" s="129"/>
      <c r="J98" s="133" t="s">
        <v>35</v>
      </c>
      <c r="K98" s="133"/>
      <c r="L98" s="133"/>
      <c r="O98" s="15"/>
      <c r="P98" s="15"/>
      <c r="Q98" s="15"/>
      <c r="R98" s="15"/>
    </row>
    <row r="99" spans="1:18" x14ac:dyDescent="0.4">
      <c r="D99" s="39" t="s">
        <v>40</v>
      </c>
      <c r="E99" s="24"/>
      <c r="F99" s="41" t="str">
        <f>+F52</f>
        <v>31 ธันวาคม 2561</v>
      </c>
      <c r="G99" s="30"/>
      <c r="H99" s="41" t="str">
        <f>+H52</f>
        <v>31 ธันวาคม 2560</v>
      </c>
      <c r="J99" s="41" t="str">
        <f>+J52</f>
        <v>31 ธันวาคม 2561</v>
      </c>
      <c r="K99" s="25"/>
      <c r="L99" s="41" t="str">
        <f>+L52</f>
        <v>31 ธันวาคม 2560</v>
      </c>
      <c r="O99" s="15"/>
      <c r="P99" s="15"/>
      <c r="Q99" s="15"/>
      <c r="R99" s="15"/>
    </row>
    <row r="100" spans="1:18" s="53" customFormat="1" ht="18" customHeight="1" x14ac:dyDescent="0.35">
      <c r="D100" s="49"/>
      <c r="E100" s="49"/>
      <c r="F100" s="70"/>
      <c r="G100" s="55"/>
      <c r="H100" s="70"/>
      <c r="I100" s="54"/>
      <c r="J100" s="70"/>
      <c r="K100" s="70"/>
      <c r="L100" s="70"/>
      <c r="M100" s="49"/>
      <c r="N100" s="49"/>
    </row>
    <row r="101" spans="1:18" x14ac:dyDescent="0.4">
      <c r="A101" s="6" t="s">
        <v>124</v>
      </c>
      <c r="F101" s="8"/>
      <c r="G101" s="8"/>
      <c r="H101" s="8"/>
      <c r="O101" s="15"/>
      <c r="P101" s="15"/>
      <c r="Q101" s="15"/>
      <c r="R101" s="15"/>
    </row>
    <row r="102" spans="1:18" x14ac:dyDescent="0.4">
      <c r="B102" s="6" t="s">
        <v>182</v>
      </c>
      <c r="F102" s="8"/>
      <c r="G102" s="8"/>
      <c r="H102" s="8"/>
      <c r="J102" s="14"/>
      <c r="K102" s="14"/>
      <c r="L102" s="14"/>
      <c r="O102" s="15"/>
      <c r="P102" s="15"/>
      <c r="Q102" s="15"/>
      <c r="R102" s="15"/>
    </row>
    <row r="103" spans="1:18" x14ac:dyDescent="0.4">
      <c r="B103" s="6" t="s">
        <v>37</v>
      </c>
      <c r="F103" s="8"/>
      <c r="G103" s="8"/>
      <c r="H103" s="8"/>
      <c r="J103" s="14"/>
      <c r="K103" s="14"/>
      <c r="L103" s="14"/>
      <c r="O103" s="15"/>
      <c r="P103" s="15"/>
      <c r="Q103" s="15"/>
      <c r="R103" s="15"/>
    </row>
    <row r="104" spans="1:18" ht="18.75" thickBot="1" x14ac:dyDescent="0.45">
      <c r="C104" s="42" t="s">
        <v>184</v>
      </c>
      <c r="D104" s="7">
        <v>21</v>
      </c>
      <c r="F104" s="91">
        <v>705918641</v>
      </c>
      <c r="G104" s="92"/>
      <c r="H104" s="91">
        <v>705918641</v>
      </c>
      <c r="I104" s="52"/>
      <c r="J104" s="91">
        <v>705918641</v>
      </c>
      <c r="K104" s="92"/>
      <c r="L104" s="91">
        <v>705918641</v>
      </c>
      <c r="O104" s="15"/>
      <c r="P104" s="15"/>
      <c r="Q104" s="15"/>
      <c r="R104" s="15"/>
    </row>
    <row r="105" spans="1:18" ht="18.75" thickTop="1" x14ac:dyDescent="0.4">
      <c r="B105" s="6" t="s">
        <v>38</v>
      </c>
      <c r="F105" s="84"/>
      <c r="G105" s="84"/>
      <c r="H105" s="84"/>
      <c r="I105" s="52"/>
      <c r="J105" s="69"/>
      <c r="K105" s="69"/>
      <c r="L105" s="84"/>
      <c r="O105" s="15"/>
      <c r="P105" s="15"/>
      <c r="Q105" s="15"/>
      <c r="R105" s="15"/>
    </row>
    <row r="106" spans="1:18" x14ac:dyDescent="0.4">
      <c r="C106" s="42" t="s">
        <v>197</v>
      </c>
      <c r="D106" s="7">
        <v>21</v>
      </c>
      <c r="F106" s="69">
        <v>704700608.25</v>
      </c>
      <c r="G106" s="69"/>
      <c r="H106" s="69">
        <v>704700608.25</v>
      </c>
      <c r="I106" s="69"/>
      <c r="J106" s="69">
        <v>704700608.25</v>
      </c>
      <c r="K106" s="69"/>
      <c r="L106" s="69">
        <v>704700608.25</v>
      </c>
      <c r="O106" s="15"/>
      <c r="P106" s="15"/>
      <c r="Q106" s="15"/>
      <c r="R106" s="15"/>
    </row>
    <row r="107" spans="1:18" x14ac:dyDescent="0.4">
      <c r="B107" s="6" t="s">
        <v>183</v>
      </c>
      <c r="C107" s="42"/>
      <c r="F107" s="69">
        <v>144890157.11000001</v>
      </c>
      <c r="G107" s="69"/>
      <c r="H107" s="69">
        <v>144890157.11000001</v>
      </c>
      <c r="I107" s="52"/>
      <c r="J107" s="69">
        <v>144890157.11000001</v>
      </c>
      <c r="K107" s="69"/>
      <c r="L107" s="69">
        <v>144890157.11000001</v>
      </c>
      <c r="O107" s="15"/>
      <c r="P107" s="15"/>
      <c r="Q107" s="15"/>
      <c r="R107" s="15"/>
    </row>
    <row r="108" spans="1:18" x14ac:dyDescent="0.4">
      <c r="B108" s="6" t="s">
        <v>55</v>
      </c>
      <c r="F108" s="84"/>
      <c r="G108" s="84"/>
      <c r="H108" s="84"/>
      <c r="I108" s="52"/>
      <c r="J108" s="69"/>
      <c r="K108" s="69"/>
      <c r="L108" s="84"/>
      <c r="O108" s="15"/>
      <c r="P108" s="15"/>
      <c r="Q108" s="15"/>
      <c r="R108" s="15"/>
    </row>
    <row r="109" spans="1:18" x14ac:dyDescent="0.4">
      <c r="C109" s="6" t="s">
        <v>39</v>
      </c>
      <c r="F109" s="83">
        <f>+เปลี่ยนแปลงรวม!N32</f>
        <v>70591864.099999994</v>
      </c>
      <c r="G109" s="83"/>
      <c r="H109" s="83">
        <v>70591864.099999994</v>
      </c>
      <c r="I109" s="52"/>
      <c r="J109" s="83">
        <f>เปลี่ยนแปลงเฉพาะ!P33</f>
        <v>70591864.099999994</v>
      </c>
      <c r="K109" s="83"/>
      <c r="L109" s="83">
        <v>70591864.099999994</v>
      </c>
      <c r="O109" s="15"/>
      <c r="P109" s="15"/>
      <c r="Q109" s="15"/>
      <c r="R109" s="15"/>
    </row>
    <row r="110" spans="1:18" x14ac:dyDescent="0.4">
      <c r="C110" s="6" t="s">
        <v>3</v>
      </c>
      <c r="D110" s="28"/>
      <c r="F110" s="88">
        <f>เปลี่ยนแปลงรวม!P32</f>
        <v>1217455873.73</v>
      </c>
      <c r="G110" s="88"/>
      <c r="H110" s="88">
        <v>1508089456.55</v>
      </c>
      <c r="I110" s="80"/>
      <c r="J110" s="88">
        <f>เปลี่ยนแปลงเฉพาะ!R33</f>
        <v>704298764.20999992</v>
      </c>
      <c r="K110" s="88"/>
      <c r="L110" s="88">
        <v>422099760.87000006</v>
      </c>
      <c r="O110" s="15"/>
      <c r="P110" s="15"/>
      <c r="Q110" s="15"/>
      <c r="R110" s="15"/>
    </row>
    <row r="111" spans="1:18" x14ac:dyDescent="0.4">
      <c r="B111" s="6" t="s">
        <v>125</v>
      </c>
      <c r="D111" s="28"/>
      <c r="F111" s="90">
        <f>เปลี่ยนแปลงรวม!V32</f>
        <v>-23239103.050000001</v>
      </c>
      <c r="G111" s="88"/>
      <c r="H111" s="90">
        <v>-2584557.6799999862</v>
      </c>
      <c r="I111" s="52"/>
      <c r="J111" s="90">
        <v>0</v>
      </c>
      <c r="K111" s="88"/>
      <c r="L111" s="90">
        <v>0</v>
      </c>
      <c r="O111" s="15"/>
      <c r="P111" s="15"/>
      <c r="Q111" s="15"/>
      <c r="R111" s="15"/>
    </row>
    <row r="112" spans="1:18" x14ac:dyDescent="0.4">
      <c r="C112" s="6" t="s">
        <v>120</v>
      </c>
      <c r="F112" s="69">
        <f>SUM(F106:F111)</f>
        <v>2114399400.1400001</v>
      </c>
      <c r="G112" s="69"/>
      <c r="H112" s="69">
        <f>SUM(H106:H111)</f>
        <v>2425687528.3300004</v>
      </c>
      <c r="I112" s="52"/>
      <c r="J112" s="69">
        <f>SUM(J106:J111)</f>
        <v>1624481393.6700001</v>
      </c>
      <c r="K112" s="69"/>
      <c r="L112" s="69">
        <f>SUM(L106:L111)</f>
        <v>1342282390.3300002</v>
      </c>
      <c r="O112" s="15"/>
      <c r="P112" s="15"/>
      <c r="Q112" s="15"/>
      <c r="R112" s="15"/>
    </row>
    <row r="113" spans="1:18" x14ac:dyDescent="0.4">
      <c r="B113" s="6" t="s">
        <v>106</v>
      </c>
      <c r="F113" s="93">
        <f>เปลี่ยนแปลงรวม!Z32</f>
        <v>74941024.799999997</v>
      </c>
      <c r="G113" s="92"/>
      <c r="H113" s="93">
        <v>76294300.530000001</v>
      </c>
      <c r="I113" s="52"/>
      <c r="J113" s="90">
        <v>0</v>
      </c>
      <c r="K113" s="88"/>
      <c r="L113" s="93">
        <f>เปลี่ยนแปลงรวม!AH32</f>
        <v>0</v>
      </c>
      <c r="O113" s="15"/>
      <c r="P113" s="15"/>
      <c r="Q113" s="15"/>
      <c r="R113" s="15"/>
    </row>
    <row r="114" spans="1:18" x14ac:dyDescent="0.4">
      <c r="C114" s="6" t="s">
        <v>126</v>
      </c>
      <c r="F114" s="69">
        <f>+F113+F112</f>
        <v>2189340424.9400001</v>
      </c>
      <c r="G114" s="69"/>
      <c r="H114" s="69">
        <f>+H113+H112</f>
        <v>2501981828.8600006</v>
      </c>
      <c r="I114" s="52"/>
      <c r="J114" s="69">
        <f>+J113+J112</f>
        <v>1624481393.6700001</v>
      </c>
      <c r="K114" s="69"/>
      <c r="L114" s="69">
        <f>+L113+L112</f>
        <v>1342282390.3300002</v>
      </c>
      <c r="O114" s="15"/>
      <c r="P114" s="15"/>
      <c r="Q114" s="15"/>
      <c r="R114" s="15"/>
    </row>
    <row r="115" spans="1:18" ht="18.75" thickBot="1" x14ac:dyDescent="0.45">
      <c r="A115" s="6" t="s">
        <v>127</v>
      </c>
      <c r="F115" s="86">
        <f>+F114+F79</f>
        <v>2765201363.3099999</v>
      </c>
      <c r="G115" s="88"/>
      <c r="H115" s="86">
        <f>+H114+H79</f>
        <v>2699027157.3000007</v>
      </c>
      <c r="I115" s="52"/>
      <c r="J115" s="86">
        <f>+J114+J79</f>
        <v>2222734549.96</v>
      </c>
      <c r="K115" s="88"/>
      <c r="L115" s="86">
        <f>+L114+L79</f>
        <v>1771552428.6900001</v>
      </c>
      <c r="O115" s="15"/>
      <c r="P115" s="15"/>
      <c r="Q115" s="15"/>
      <c r="R115" s="15"/>
    </row>
    <row r="116" spans="1:18" ht="18.75" thickTop="1" x14ac:dyDescent="0.4">
      <c r="F116" s="88"/>
      <c r="G116" s="88"/>
      <c r="H116" s="88"/>
      <c r="I116" s="52"/>
      <c r="J116" s="88"/>
      <c r="K116" s="88"/>
      <c r="L116" s="88"/>
      <c r="O116" s="15"/>
      <c r="P116" s="15"/>
      <c r="Q116" s="15"/>
      <c r="R116" s="15"/>
    </row>
    <row r="117" spans="1:18" x14ac:dyDescent="0.4">
      <c r="A117" s="6" t="s">
        <v>146</v>
      </c>
      <c r="F117" s="87"/>
      <c r="G117" s="87"/>
      <c r="H117" s="87"/>
      <c r="I117" s="52"/>
      <c r="J117" s="69"/>
      <c r="K117" s="69"/>
      <c r="L117" s="69"/>
    </row>
    <row r="118" spans="1:18" x14ac:dyDescent="0.4">
      <c r="F118" s="29"/>
      <c r="G118" s="29"/>
      <c r="H118" s="29"/>
      <c r="J118" s="29"/>
      <c r="K118" s="29"/>
      <c r="L118" s="29"/>
      <c r="O118" s="15"/>
      <c r="P118" s="15"/>
      <c r="Q118" s="15"/>
      <c r="R118" s="15"/>
    </row>
    <row r="119" spans="1:18" x14ac:dyDescent="0.4">
      <c r="F119" s="29"/>
      <c r="G119" s="29"/>
      <c r="H119" s="29"/>
      <c r="J119" s="29"/>
      <c r="K119" s="29"/>
      <c r="L119" s="29"/>
      <c r="O119" s="15"/>
      <c r="P119" s="15"/>
      <c r="Q119" s="15"/>
      <c r="R119" s="15"/>
    </row>
    <row r="120" spans="1:18" x14ac:dyDescent="0.4">
      <c r="F120" s="29"/>
      <c r="G120" s="29"/>
      <c r="H120" s="29"/>
      <c r="J120" s="29"/>
      <c r="K120" s="29"/>
      <c r="L120" s="29"/>
      <c r="O120" s="15"/>
      <c r="P120" s="15"/>
      <c r="Q120" s="15"/>
      <c r="R120" s="15"/>
    </row>
    <row r="121" spans="1:18" x14ac:dyDescent="0.4">
      <c r="F121" s="29"/>
      <c r="G121" s="29"/>
      <c r="H121" s="29"/>
      <c r="J121" s="29"/>
      <c r="K121" s="29"/>
      <c r="L121" s="29"/>
      <c r="O121" s="15"/>
      <c r="P121" s="15"/>
      <c r="Q121" s="15"/>
      <c r="R121" s="15"/>
    </row>
    <row r="122" spans="1:18" x14ac:dyDescent="0.4">
      <c r="F122" s="29"/>
      <c r="G122" s="29"/>
      <c r="H122" s="29"/>
      <c r="J122" s="29"/>
      <c r="K122" s="29"/>
      <c r="L122" s="29"/>
      <c r="O122" s="15"/>
      <c r="P122" s="15"/>
      <c r="Q122" s="15"/>
      <c r="R122" s="15"/>
    </row>
    <row r="124" spans="1:18" x14ac:dyDescent="0.4">
      <c r="F124" s="29"/>
      <c r="G124" s="29"/>
      <c r="H124" s="29"/>
      <c r="J124" s="29"/>
      <c r="K124" s="29"/>
      <c r="L124" s="29"/>
      <c r="O124" s="15"/>
      <c r="P124" s="15"/>
      <c r="Q124" s="15"/>
      <c r="R124" s="15"/>
    </row>
    <row r="125" spans="1:18" x14ac:dyDescent="0.4">
      <c r="F125" s="29"/>
      <c r="G125" s="29"/>
      <c r="H125" s="29"/>
      <c r="J125" s="29"/>
      <c r="K125" s="29"/>
      <c r="L125" s="29"/>
      <c r="O125" s="15"/>
      <c r="P125" s="15"/>
      <c r="Q125" s="15"/>
      <c r="R125" s="15"/>
    </row>
    <row r="126" spans="1:18" x14ac:dyDescent="0.4">
      <c r="F126" s="29"/>
      <c r="G126" s="29"/>
      <c r="H126" s="29"/>
      <c r="J126" s="29"/>
      <c r="K126" s="29"/>
      <c r="L126" s="29"/>
      <c r="O126" s="15"/>
      <c r="P126" s="15"/>
      <c r="Q126" s="15"/>
      <c r="R126" s="15"/>
    </row>
    <row r="127" spans="1:18" x14ac:dyDescent="0.4">
      <c r="F127" s="29"/>
      <c r="G127" s="29"/>
      <c r="H127" s="29"/>
      <c r="J127" s="29"/>
      <c r="K127" s="29"/>
      <c r="L127" s="29"/>
      <c r="O127" s="15"/>
      <c r="P127" s="15"/>
      <c r="Q127" s="15"/>
      <c r="R127" s="15"/>
    </row>
    <row r="128" spans="1:18" x14ac:dyDescent="0.4">
      <c r="A128" s="7"/>
      <c r="B128" s="21" t="s">
        <v>163</v>
      </c>
      <c r="C128" s="7"/>
      <c r="D128" s="21"/>
      <c r="G128" s="21"/>
      <c r="H128" s="21" t="s">
        <v>162</v>
      </c>
      <c r="I128" s="7"/>
      <c r="J128" s="7"/>
      <c r="K128" s="7"/>
      <c r="L128" s="7"/>
      <c r="O128" s="15"/>
      <c r="P128" s="15"/>
      <c r="Q128" s="15"/>
      <c r="R128" s="15"/>
    </row>
    <row r="129" spans="1:18" ht="18" customHeight="1" x14ac:dyDescent="0.4">
      <c r="J129" s="14"/>
      <c r="K129" s="14"/>
      <c r="L129" s="14"/>
      <c r="O129" s="15"/>
      <c r="P129" s="15"/>
      <c r="Q129" s="15"/>
      <c r="R129" s="15"/>
    </row>
    <row r="130" spans="1:18" x14ac:dyDescent="0.4">
      <c r="A130" s="7"/>
      <c r="B130" s="21"/>
      <c r="C130" s="7"/>
      <c r="D130" s="21"/>
      <c r="F130" s="21"/>
      <c r="G130" s="21"/>
      <c r="H130" s="21"/>
      <c r="I130" s="7"/>
      <c r="J130" s="7"/>
      <c r="K130" s="7"/>
      <c r="L130" s="7"/>
      <c r="O130" s="15"/>
      <c r="P130" s="15"/>
      <c r="Q130" s="15"/>
      <c r="R130" s="15"/>
    </row>
    <row r="131" spans="1:18" x14ac:dyDescent="0.4">
      <c r="A131" s="7"/>
      <c r="B131" s="21"/>
      <c r="C131" s="7"/>
      <c r="D131" s="21"/>
      <c r="F131" s="21"/>
      <c r="G131" s="21"/>
      <c r="H131" s="21"/>
      <c r="I131" s="7"/>
      <c r="J131" s="7"/>
      <c r="K131" s="7"/>
      <c r="L131" s="7"/>
      <c r="O131" s="15"/>
      <c r="P131" s="15"/>
      <c r="Q131" s="15"/>
      <c r="R131" s="15"/>
    </row>
    <row r="132" spans="1:18" x14ac:dyDescent="0.4">
      <c r="A132" s="7"/>
      <c r="B132" s="21"/>
      <c r="C132" s="7"/>
      <c r="D132" s="21"/>
      <c r="F132" s="21"/>
      <c r="G132" s="21"/>
      <c r="H132" s="21"/>
      <c r="I132" s="7"/>
      <c r="J132" s="7"/>
      <c r="K132" s="7"/>
      <c r="L132" s="7"/>
      <c r="O132" s="15"/>
      <c r="P132" s="15"/>
      <c r="Q132" s="15"/>
      <c r="R132" s="15"/>
    </row>
    <row r="133" spans="1:18" ht="16.5" customHeight="1" x14ac:dyDescent="0.4">
      <c r="A133" s="130"/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  <c r="L133" s="130"/>
      <c r="O133" s="15"/>
      <c r="P133" s="15"/>
      <c r="Q133" s="15"/>
      <c r="R133" s="15"/>
    </row>
    <row r="134" spans="1:18" ht="13.5" customHeight="1" x14ac:dyDescent="0.4">
      <c r="D134" s="7" t="s">
        <v>89</v>
      </c>
      <c r="F134" s="29">
        <f>F115-F38</f>
        <v>0</v>
      </c>
      <c r="G134" s="29"/>
      <c r="H134" s="29">
        <f>H115-H38</f>
        <v>0</v>
      </c>
      <c r="J134" s="29">
        <f>J115-J38</f>
        <v>0</v>
      </c>
      <c r="K134" s="29"/>
      <c r="L134" s="29">
        <f>L115-L38</f>
        <v>0</v>
      </c>
      <c r="O134" s="15"/>
      <c r="P134" s="15"/>
      <c r="Q134" s="15"/>
      <c r="R134" s="15"/>
    </row>
    <row r="135" spans="1:18" ht="18" customHeight="1" x14ac:dyDescent="0.4"/>
    <row r="136" spans="1:18" ht="18" customHeight="1" x14ac:dyDescent="0.4"/>
  </sheetData>
  <mergeCells count="23">
    <mergeCell ref="A2:L2"/>
    <mergeCell ref="A3:L3"/>
    <mergeCell ref="F5:L5"/>
    <mergeCell ref="F6:H6"/>
    <mergeCell ref="J6:L6"/>
    <mergeCell ref="A4:L4"/>
    <mergeCell ref="A9:C9"/>
    <mergeCell ref="A47:L47"/>
    <mergeCell ref="A49:L49"/>
    <mergeCell ref="A96:L96"/>
    <mergeCell ref="A54:C54"/>
    <mergeCell ref="A94:L94"/>
    <mergeCell ref="F50:L50"/>
    <mergeCell ref="J51:L51"/>
    <mergeCell ref="F97:L97"/>
    <mergeCell ref="F51:H51"/>
    <mergeCell ref="A45:L45"/>
    <mergeCell ref="A133:L133"/>
    <mergeCell ref="A92:L92"/>
    <mergeCell ref="A48:L48"/>
    <mergeCell ref="A95:L95"/>
    <mergeCell ref="J98:L98"/>
    <mergeCell ref="F98:H98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&amp;C&amp;P</oddFooter>
  </headerFooter>
  <rowBreaks count="2" manualBreakCount="2">
    <brk id="45" max="11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X97"/>
  <sheetViews>
    <sheetView view="pageBreakPreview" zoomScale="90" zoomScaleNormal="100" zoomScaleSheetLayoutView="90" workbookViewId="0">
      <selection activeCell="F65" sqref="F65:J66"/>
    </sheetView>
  </sheetViews>
  <sheetFormatPr defaultRowHeight="18" x14ac:dyDescent="0.4"/>
  <cols>
    <col min="1" max="2" width="2.7109375" style="6" customWidth="1"/>
    <col min="3" max="3" width="43.140625" style="6" customWidth="1"/>
    <col min="4" max="4" width="6.28515625" style="7" customWidth="1"/>
    <col min="5" max="5" width="0.85546875" style="7" customWidth="1"/>
    <col min="6" max="6" width="12.85546875" style="7" customWidth="1"/>
    <col min="7" max="7" width="0.85546875" style="7" customWidth="1"/>
    <col min="8" max="8" width="12.85546875" style="7" bestFit="1" customWidth="1"/>
    <col min="9" max="9" width="0.85546875" style="6" customWidth="1"/>
    <col min="10" max="10" width="12.42578125" style="9" bestFit="1" customWidth="1"/>
    <col min="11" max="11" width="0.85546875" style="6" customWidth="1"/>
    <col min="12" max="12" width="12.85546875" style="9" bestFit="1" customWidth="1"/>
    <col min="13" max="13" width="1.85546875" style="6" customWidth="1"/>
    <col min="14" max="14" width="2.7109375" style="15" customWidth="1"/>
    <col min="15" max="15" width="15.7109375" style="20" customWidth="1"/>
    <col min="16" max="16" width="2.7109375" style="15" customWidth="1"/>
    <col min="17" max="17" width="15.7109375" style="15" customWidth="1"/>
    <col min="18" max="18" width="2.7109375" style="15" customWidth="1"/>
    <col min="19" max="19" width="15.7109375" style="15" customWidth="1"/>
    <col min="20" max="20" width="2.7109375" style="15" customWidth="1"/>
    <col min="21" max="21" width="15.7109375" style="6" customWidth="1"/>
    <col min="22" max="22" width="2.7109375" style="6" customWidth="1"/>
    <col min="23" max="23" width="13.85546875" style="6" customWidth="1"/>
    <col min="24" max="24" width="2.7109375" style="6" customWidth="1"/>
    <col min="25" max="25" width="14.5703125" style="6" customWidth="1"/>
    <col min="26" max="26" width="11" style="6" customWidth="1"/>
    <col min="27" max="16384" width="9.140625" style="6"/>
  </cols>
  <sheetData>
    <row r="1" spans="1:24" ht="18" customHeight="1" x14ac:dyDescent="0.4">
      <c r="D1" s="29"/>
      <c r="E1" s="29"/>
      <c r="F1" s="14"/>
      <c r="G1" s="29"/>
      <c r="H1" s="14"/>
      <c r="J1" s="71"/>
      <c r="K1" s="71"/>
      <c r="L1" s="71"/>
      <c r="M1" s="7"/>
      <c r="U1" s="15"/>
      <c r="V1" s="15"/>
      <c r="W1" s="15"/>
      <c r="X1" s="15"/>
    </row>
    <row r="2" spans="1:24" ht="18" customHeight="1" x14ac:dyDescent="0.4">
      <c r="A2" s="132" t="s">
        <v>52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7"/>
      <c r="U2" s="15"/>
      <c r="V2" s="15"/>
      <c r="W2" s="15"/>
      <c r="X2" s="15"/>
    </row>
    <row r="3" spans="1:24" ht="18" customHeight="1" x14ac:dyDescent="0.4">
      <c r="A3" s="131" t="s">
        <v>0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7"/>
      <c r="U3" s="15"/>
      <c r="V3" s="15"/>
      <c r="W3" s="15"/>
      <c r="X3" s="15"/>
    </row>
    <row r="4" spans="1:24" ht="18" customHeight="1" x14ac:dyDescent="0.4">
      <c r="A4" s="131" t="s">
        <v>218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7"/>
      <c r="U4" s="15"/>
      <c r="V4" s="15"/>
      <c r="W4" s="15"/>
      <c r="X4" s="15"/>
    </row>
    <row r="5" spans="1:24" ht="18" customHeight="1" x14ac:dyDescent="0.4">
      <c r="C5" s="23"/>
      <c r="D5" s="23"/>
      <c r="E5" s="23"/>
      <c r="F5" s="128" t="s">
        <v>13</v>
      </c>
      <c r="G5" s="128"/>
      <c r="H5" s="128"/>
      <c r="I5" s="128"/>
      <c r="J5" s="128"/>
      <c r="K5" s="128"/>
      <c r="L5" s="128"/>
      <c r="M5" s="7"/>
      <c r="U5" s="15"/>
      <c r="V5" s="15"/>
      <c r="W5" s="15"/>
      <c r="X5" s="15"/>
    </row>
    <row r="6" spans="1:24" ht="18" customHeight="1" x14ac:dyDescent="0.4">
      <c r="C6" s="6" t="s">
        <v>1</v>
      </c>
      <c r="F6" s="129" t="s">
        <v>34</v>
      </c>
      <c r="G6" s="129"/>
      <c r="H6" s="129"/>
      <c r="J6" s="133" t="s">
        <v>35</v>
      </c>
      <c r="K6" s="133"/>
      <c r="L6" s="133"/>
      <c r="M6" s="7"/>
      <c r="U6" s="15"/>
      <c r="V6" s="15"/>
      <c r="W6" s="15"/>
      <c r="X6" s="15"/>
    </row>
    <row r="7" spans="1:24" ht="18" customHeight="1" x14ac:dyDescent="0.4">
      <c r="F7" s="129" t="s">
        <v>147</v>
      </c>
      <c r="G7" s="129"/>
      <c r="H7" s="129"/>
      <c r="J7" s="129" t="s">
        <v>147</v>
      </c>
      <c r="K7" s="129"/>
      <c r="L7" s="129"/>
      <c r="M7" s="7"/>
      <c r="U7" s="15"/>
      <c r="V7" s="15"/>
      <c r="W7" s="15"/>
      <c r="X7" s="15"/>
    </row>
    <row r="8" spans="1:24" ht="18" customHeight="1" x14ac:dyDescent="0.4">
      <c r="D8" s="39" t="s">
        <v>40</v>
      </c>
      <c r="E8" s="24"/>
      <c r="F8" s="40">
        <v>2561</v>
      </c>
      <c r="G8" s="10"/>
      <c r="H8" s="40" t="s">
        <v>191</v>
      </c>
      <c r="I8" s="43"/>
      <c r="J8" s="40">
        <f>+F8</f>
        <v>2561</v>
      </c>
      <c r="K8" s="58"/>
      <c r="L8" s="40" t="str">
        <f>+H8</f>
        <v>2560</v>
      </c>
      <c r="M8" s="7"/>
      <c r="U8" s="15"/>
      <c r="V8" s="15"/>
      <c r="W8" s="15"/>
      <c r="X8" s="15"/>
    </row>
    <row r="9" spans="1:24" ht="18" customHeight="1" x14ac:dyDescent="0.4">
      <c r="D9" s="24"/>
      <c r="E9" s="24"/>
      <c r="F9" s="106"/>
      <c r="G9" s="58"/>
      <c r="H9" s="106"/>
      <c r="I9" s="43"/>
      <c r="J9" s="106"/>
      <c r="K9" s="58"/>
      <c r="L9" s="106"/>
      <c r="M9" s="7"/>
      <c r="U9" s="15"/>
      <c r="V9" s="15"/>
      <c r="W9" s="15"/>
      <c r="X9" s="15"/>
    </row>
    <row r="10" spans="1:24" ht="18" customHeight="1" x14ac:dyDescent="0.4">
      <c r="A10" s="6" t="s">
        <v>41</v>
      </c>
      <c r="F10" s="8"/>
      <c r="G10" s="8"/>
      <c r="H10" s="8"/>
      <c r="M10" s="7"/>
      <c r="U10" s="15"/>
      <c r="V10" s="15"/>
      <c r="W10" s="15"/>
      <c r="X10" s="15"/>
    </row>
    <row r="11" spans="1:24" ht="18" customHeight="1" x14ac:dyDescent="0.4">
      <c r="B11" s="6" t="s">
        <v>108</v>
      </c>
      <c r="F11" s="83">
        <v>286326943.06</v>
      </c>
      <c r="G11" s="84"/>
      <c r="H11" s="83">
        <v>470835431.23000002</v>
      </c>
      <c r="I11" s="52"/>
      <c r="J11" s="88">
        <v>242182073.40000001</v>
      </c>
      <c r="K11" s="52"/>
      <c r="L11" s="88">
        <v>80741514.390000001</v>
      </c>
      <c r="M11" s="7"/>
      <c r="U11" s="15"/>
      <c r="V11" s="15"/>
      <c r="W11" s="15"/>
      <c r="X11" s="15"/>
    </row>
    <row r="12" spans="1:24" ht="18" customHeight="1" x14ac:dyDescent="0.4">
      <c r="B12" s="6" t="s">
        <v>90</v>
      </c>
      <c r="D12" s="53"/>
      <c r="F12" s="83">
        <v>23152079.98</v>
      </c>
      <c r="G12" s="84"/>
      <c r="H12" s="83">
        <v>9940266.8499999996</v>
      </c>
      <c r="I12" s="52"/>
      <c r="J12" s="69">
        <v>31169094.91</v>
      </c>
      <c r="K12" s="52"/>
      <c r="L12" s="69">
        <v>10127252.85</v>
      </c>
      <c r="M12" s="7"/>
      <c r="U12" s="15"/>
      <c r="V12" s="15"/>
      <c r="W12" s="15"/>
      <c r="X12" s="15"/>
    </row>
    <row r="13" spans="1:24" ht="18" customHeight="1" x14ac:dyDescent="0.4">
      <c r="B13" s="6" t="s">
        <v>128</v>
      </c>
      <c r="D13" s="53"/>
      <c r="F13" s="83">
        <v>13802188.710000001</v>
      </c>
      <c r="G13" s="84"/>
      <c r="H13" s="83">
        <v>39089333.609999999</v>
      </c>
      <c r="I13" s="52"/>
      <c r="J13" s="69">
        <v>458605252.11000001</v>
      </c>
      <c r="K13" s="52"/>
      <c r="L13" s="69">
        <v>39089333.609999999</v>
      </c>
      <c r="M13" s="7"/>
      <c r="U13" s="15"/>
      <c r="V13" s="15"/>
      <c r="W13" s="15"/>
      <c r="X13" s="15"/>
    </row>
    <row r="14" spans="1:24" ht="18" customHeight="1" x14ac:dyDescent="0.4">
      <c r="B14" s="6" t="s">
        <v>9</v>
      </c>
      <c r="D14" s="53"/>
      <c r="F14" s="83">
        <v>123885226.23999999</v>
      </c>
      <c r="G14" s="84"/>
      <c r="H14" s="83">
        <v>16919365.82</v>
      </c>
      <c r="I14" s="52"/>
      <c r="J14" s="88">
        <v>125112277.81</v>
      </c>
      <c r="K14" s="52"/>
      <c r="L14" s="88">
        <v>17047377.620000001</v>
      </c>
      <c r="M14" s="7"/>
      <c r="U14" s="15"/>
      <c r="V14" s="15"/>
      <c r="W14" s="15"/>
      <c r="X14" s="15"/>
    </row>
    <row r="15" spans="1:24" ht="18" customHeight="1" x14ac:dyDescent="0.4">
      <c r="B15" s="6" t="s">
        <v>43</v>
      </c>
      <c r="D15" s="53"/>
      <c r="F15" s="87"/>
      <c r="G15" s="87"/>
      <c r="H15" s="87"/>
      <c r="I15" s="52"/>
      <c r="J15" s="69"/>
      <c r="K15" s="52"/>
      <c r="L15" s="69"/>
      <c r="M15" s="7"/>
      <c r="U15" s="15"/>
      <c r="V15" s="15"/>
      <c r="W15" s="15"/>
      <c r="X15" s="15"/>
    </row>
    <row r="16" spans="1:24" ht="18" customHeight="1" x14ac:dyDescent="0.4">
      <c r="C16" s="6" t="s">
        <v>68</v>
      </c>
      <c r="D16" s="53">
        <v>5</v>
      </c>
      <c r="F16" s="69">
        <v>3400000</v>
      </c>
      <c r="G16" s="84"/>
      <c r="H16" s="69">
        <v>0</v>
      </c>
      <c r="I16" s="52"/>
      <c r="J16" s="69">
        <v>3000000</v>
      </c>
      <c r="K16" s="52"/>
      <c r="L16" s="69">
        <v>0</v>
      </c>
      <c r="M16" s="7"/>
      <c r="U16" s="15"/>
      <c r="V16" s="15"/>
      <c r="W16" s="15"/>
      <c r="X16" s="15"/>
    </row>
    <row r="17" spans="1:24" ht="18" customHeight="1" x14ac:dyDescent="0.4">
      <c r="C17" s="6" t="s">
        <v>177</v>
      </c>
      <c r="D17" s="53">
        <v>9</v>
      </c>
      <c r="F17" s="69">
        <v>1000000</v>
      </c>
      <c r="G17" s="84"/>
      <c r="H17" s="69">
        <v>25375997.460000001</v>
      </c>
      <c r="I17" s="52"/>
      <c r="J17" s="69">
        <v>1000000</v>
      </c>
      <c r="K17" s="52"/>
      <c r="L17" s="69">
        <v>46807021.799999997</v>
      </c>
      <c r="M17" s="7"/>
      <c r="U17" s="15"/>
      <c r="V17" s="15"/>
      <c r="W17" s="15"/>
      <c r="X17" s="15"/>
    </row>
    <row r="18" spans="1:24" ht="18" customHeight="1" x14ac:dyDescent="0.4">
      <c r="C18" s="6" t="s">
        <v>198</v>
      </c>
      <c r="D18" s="53"/>
      <c r="F18" s="69">
        <v>0</v>
      </c>
      <c r="G18" s="84"/>
      <c r="H18" s="69">
        <v>23639384.309999999</v>
      </c>
      <c r="I18" s="52"/>
      <c r="J18" s="69">
        <v>0</v>
      </c>
      <c r="K18" s="52"/>
      <c r="L18" s="69">
        <v>23639384.309999999</v>
      </c>
      <c r="M18" s="7"/>
      <c r="U18" s="15"/>
      <c r="V18" s="15"/>
      <c r="W18" s="15"/>
      <c r="X18" s="15"/>
    </row>
    <row r="19" spans="1:24" ht="18" customHeight="1" x14ac:dyDescent="0.4">
      <c r="C19" s="6" t="s">
        <v>223</v>
      </c>
      <c r="D19" s="53"/>
      <c r="F19" s="69">
        <v>14549518.52</v>
      </c>
      <c r="G19" s="84"/>
      <c r="H19" s="69">
        <v>7637871.9500000002</v>
      </c>
      <c r="I19" s="52"/>
      <c r="J19" s="69">
        <v>5182238.3099999996</v>
      </c>
      <c r="K19" s="52"/>
      <c r="L19" s="69">
        <v>7635403.9500000002</v>
      </c>
      <c r="M19" s="7"/>
      <c r="U19" s="15"/>
      <c r="V19" s="15"/>
      <c r="W19" s="15"/>
      <c r="X19" s="15"/>
    </row>
    <row r="20" spans="1:24" ht="18" customHeight="1" x14ac:dyDescent="0.4">
      <c r="C20" s="6" t="s">
        <v>44</v>
      </c>
      <c r="D20" s="114"/>
      <c r="E20" s="12"/>
      <c r="F20" s="83">
        <v>141327.51999999999</v>
      </c>
      <c r="G20" s="84"/>
      <c r="H20" s="83">
        <f>649.21+7637871.95+19403676.75-466117-7637871.95</f>
        <v>18938208.960000001</v>
      </c>
      <c r="I20" s="52"/>
      <c r="J20" s="69">
        <v>54162.26</v>
      </c>
      <c r="K20" s="52"/>
      <c r="L20" s="69">
        <f>26991606.62-466117-7635403.95</f>
        <v>18890085.670000002</v>
      </c>
      <c r="M20" s="7"/>
      <c r="U20" s="15"/>
      <c r="V20" s="15"/>
      <c r="W20" s="15"/>
      <c r="X20" s="15"/>
    </row>
    <row r="21" spans="1:24" ht="18" customHeight="1" x14ac:dyDescent="0.4">
      <c r="C21" s="6" t="s">
        <v>10</v>
      </c>
      <c r="D21" s="53"/>
      <c r="F21" s="85">
        <f>SUM(F11:F20)</f>
        <v>466257284.02999997</v>
      </c>
      <c r="G21" s="84"/>
      <c r="H21" s="85">
        <f>SUM(H11:H20)</f>
        <v>612375860.19000006</v>
      </c>
      <c r="I21" s="52"/>
      <c r="J21" s="85">
        <f>SUM(J11:J20)</f>
        <v>866305098.79999995</v>
      </c>
      <c r="K21" s="52"/>
      <c r="L21" s="85">
        <f>SUM(L11:L20)</f>
        <v>243977374.19999999</v>
      </c>
      <c r="M21" s="7"/>
      <c r="U21" s="15"/>
      <c r="V21" s="15"/>
      <c r="W21" s="15"/>
      <c r="X21" s="15"/>
    </row>
    <row r="22" spans="1:24" ht="18" customHeight="1" x14ac:dyDescent="0.4">
      <c r="A22" s="6" t="s">
        <v>42</v>
      </c>
      <c r="D22" s="53"/>
      <c r="F22" s="83"/>
      <c r="G22" s="84"/>
      <c r="H22" s="83"/>
      <c r="I22" s="52"/>
      <c r="J22" s="69"/>
      <c r="K22" s="52"/>
      <c r="L22" s="69"/>
      <c r="M22" s="7"/>
      <c r="U22" s="15"/>
      <c r="V22" s="15"/>
      <c r="W22" s="15"/>
      <c r="X22" s="15"/>
    </row>
    <row r="23" spans="1:24" ht="18" customHeight="1" x14ac:dyDescent="0.4">
      <c r="B23" s="6" t="s">
        <v>133</v>
      </c>
      <c r="D23" s="53"/>
      <c r="F23" s="83">
        <f>63960498.02+63810349.79</f>
        <v>127770847.81</v>
      </c>
      <c r="G23" s="84"/>
      <c r="H23" s="83">
        <v>152229176.94999999</v>
      </c>
      <c r="I23" s="52"/>
      <c r="J23" s="69">
        <v>83256520.319999993</v>
      </c>
      <c r="K23" s="52"/>
      <c r="L23" s="69">
        <v>32040530.960000001</v>
      </c>
      <c r="M23" s="7"/>
      <c r="U23" s="15"/>
      <c r="V23" s="15"/>
      <c r="W23" s="15"/>
      <c r="X23" s="15"/>
    </row>
    <row r="24" spans="1:24" ht="18" customHeight="1" x14ac:dyDescent="0.4">
      <c r="B24" s="6" t="s">
        <v>91</v>
      </c>
      <c r="D24" s="115"/>
      <c r="E24" s="5"/>
      <c r="F24" s="83">
        <f>56628724.6+4326999</f>
        <v>60955723.600000001</v>
      </c>
      <c r="G24" s="84"/>
      <c r="H24" s="83">
        <f>56912587.75-466117</f>
        <v>56446470.75</v>
      </c>
      <c r="I24" s="52"/>
      <c r="J24" s="69">
        <f>48026080.65+3731511</f>
        <v>51757591.649999999</v>
      </c>
      <c r="K24" s="52"/>
      <c r="L24" s="69">
        <f>54500684.47-466117</f>
        <v>54034567.469999999</v>
      </c>
      <c r="M24" s="7"/>
      <c r="U24" s="15"/>
      <c r="V24" s="15"/>
      <c r="W24" s="15"/>
      <c r="X24" s="15"/>
    </row>
    <row r="25" spans="1:24" ht="18" customHeight="1" x14ac:dyDescent="0.4">
      <c r="B25" s="6" t="s">
        <v>144</v>
      </c>
      <c r="D25" s="53">
        <v>4.4000000000000004</v>
      </c>
      <c r="E25" s="5"/>
      <c r="F25" s="83">
        <v>232278315.22999999</v>
      </c>
      <c r="G25" s="84"/>
      <c r="H25" s="83">
        <v>19993548.649999999</v>
      </c>
      <c r="I25" s="52"/>
      <c r="J25" s="69">
        <v>125929231.51000001</v>
      </c>
      <c r="K25" s="52"/>
      <c r="L25" s="69">
        <v>40671211.270000003</v>
      </c>
      <c r="M25" s="7"/>
      <c r="U25" s="15"/>
      <c r="V25" s="15"/>
      <c r="W25" s="15"/>
      <c r="X25" s="15"/>
    </row>
    <row r="26" spans="1:24" ht="18" customHeight="1" x14ac:dyDescent="0.4">
      <c r="B26" s="6" t="s">
        <v>199</v>
      </c>
      <c r="D26" s="124"/>
      <c r="E26" s="5"/>
      <c r="F26" s="83">
        <v>0</v>
      </c>
      <c r="G26" s="84"/>
      <c r="H26" s="83">
        <v>0</v>
      </c>
      <c r="I26" s="52"/>
      <c r="J26" s="69">
        <v>0</v>
      </c>
      <c r="K26" s="52"/>
      <c r="L26" s="69">
        <v>15630053.09</v>
      </c>
      <c r="M26" s="7"/>
      <c r="U26" s="15"/>
      <c r="V26" s="15"/>
      <c r="W26" s="15"/>
      <c r="X26" s="15"/>
    </row>
    <row r="27" spans="1:24" ht="18" customHeight="1" x14ac:dyDescent="0.4">
      <c r="B27" s="6" t="s">
        <v>224</v>
      </c>
      <c r="D27" s="53">
        <v>9</v>
      </c>
      <c r="E27" s="5"/>
      <c r="F27" s="83">
        <v>970000</v>
      </c>
      <c r="G27" s="84"/>
      <c r="H27" s="83">
        <v>0</v>
      </c>
      <c r="I27" s="52"/>
      <c r="J27" s="69">
        <v>970000</v>
      </c>
      <c r="K27" s="52"/>
      <c r="L27" s="69">
        <v>0</v>
      </c>
      <c r="M27" s="7"/>
      <c r="U27" s="15"/>
      <c r="V27" s="15"/>
      <c r="W27" s="15"/>
      <c r="X27" s="15"/>
    </row>
    <row r="28" spans="1:24" ht="18" customHeight="1" x14ac:dyDescent="0.4">
      <c r="B28" s="6" t="s">
        <v>92</v>
      </c>
      <c r="D28" s="116"/>
      <c r="E28" s="5"/>
      <c r="F28" s="83">
        <v>12770790.76</v>
      </c>
      <c r="G28" s="84"/>
      <c r="H28" s="83">
        <v>2435127.31</v>
      </c>
      <c r="I28" s="52"/>
      <c r="J28" s="69">
        <v>14614363.6</v>
      </c>
      <c r="K28" s="52"/>
      <c r="L28" s="69">
        <v>8276296.4800000004</v>
      </c>
      <c r="M28" s="7"/>
      <c r="U28" s="15"/>
      <c r="V28" s="15"/>
      <c r="W28" s="15"/>
      <c r="X28" s="15"/>
    </row>
    <row r="29" spans="1:24" ht="18" customHeight="1" x14ac:dyDescent="0.4">
      <c r="C29" s="6" t="s">
        <v>2</v>
      </c>
      <c r="D29" s="53"/>
      <c r="F29" s="85">
        <f>SUM(F23:F28)</f>
        <v>434745677.39999998</v>
      </c>
      <c r="G29" s="84"/>
      <c r="H29" s="85">
        <f>SUM(H23:H28)</f>
        <v>231104323.66</v>
      </c>
      <c r="I29" s="52"/>
      <c r="J29" s="85">
        <f>SUM(J23:J28)</f>
        <v>276527707.08000004</v>
      </c>
      <c r="K29" s="52"/>
      <c r="L29" s="85">
        <f>SUM(L23:L28)</f>
        <v>150652659.27000001</v>
      </c>
      <c r="M29" s="7"/>
      <c r="U29" s="15"/>
      <c r="V29" s="15"/>
      <c r="W29" s="15"/>
      <c r="X29" s="15"/>
    </row>
    <row r="30" spans="1:24" ht="18" customHeight="1" x14ac:dyDescent="0.4">
      <c r="A30" s="6" t="s">
        <v>134</v>
      </c>
      <c r="D30" s="109"/>
      <c r="E30" s="29"/>
      <c r="F30" s="69">
        <f>+F21-F29</f>
        <v>31511606.629999995</v>
      </c>
      <c r="G30" s="83"/>
      <c r="H30" s="69">
        <f>+H21-H29</f>
        <v>381271536.53000009</v>
      </c>
      <c r="I30" s="52"/>
      <c r="J30" s="69">
        <f>+J21-J29</f>
        <v>589777391.71999991</v>
      </c>
      <c r="K30" s="52"/>
      <c r="L30" s="69">
        <f>+L21-L29</f>
        <v>93324714.929999977</v>
      </c>
      <c r="M30" s="7"/>
      <c r="U30" s="15"/>
      <c r="V30" s="15"/>
      <c r="W30" s="15"/>
      <c r="X30" s="15"/>
    </row>
    <row r="31" spans="1:24" ht="18" customHeight="1" x14ac:dyDescent="0.4">
      <c r="A31" s="6" t="s">
        <v>161</v>
      </c>
      <c r="D31" s="53">
        <v>19.2</v>
      </c>
      <c r="E31" s="53"/>
      <c r="F31" s="94">
        <f>-66664693.48+38364544.4</f>
        <v>-28300149.079999998</v>
      </c>
      <c r="G31" s="84"/>
      <c r="H31" s="94">
        <f>-11342789.61-10780252.94</f>
        <v>-22123042.549999997</v>
      </c>
      <c r="I31" s="52"/>
      <c r="J31" s="90">
        <f>-66106529.57+37235037.4+746302.2-558163.91</f>
        <v>-28683353.880000003</v>
      </c>
      <c r="K31" s="69"/>
      <c r="L31" s="90">
        <f>-11056699.66-10798345.94</f>
        <v>-21855045.600000001</v>
      </c>
      <c r="M31" s="7"/>
      <c r="U31" s="15"/>
      <c r="V31" s="15"/>
      <c r="W31" s="15"/>
      <c r="X31" s="15"/>
    </row>
    <row r="32" spans="1:24" ht="18" customHeight="1" thickBot="1" x14ac:dyDescent="0.45">
      <c r="A32" s="6" t="s">
        <v>148</v>
      </c>
      <c r="D32" s="53"/>
      <c r="F32" s="95">
        <f>SUM(F30:F31)</f>
        <v>3211457.549999997</v>
      </c>
      <c r="G32" s="84"/>
      <c r="H32" s="95">
        <f>SUM(H30:H31)</f>
        <v>359148493.98000008</v>
      </c>
      <c r="I32" s="52"/>
      <c r="J32" s="96">
        <f>SUM(J30:J31)</f>
        <v>561094037.83999991</v>
      </c>
      <c r="K32" s="69"/>
      <c r="L32" s="96">
        <f>SUM(L30:L31)</f>
        <v>71469669.329999983</v>
      </c>
      <c r="M32" s="7"/>
      <c r="U32" s="15"/>
      <c r="V32" s="15"/>
      <c r="W32" s="15"/>
      <c r="X32" s="15"/>
    </row>
    <row r="33" spans="1:24" ht="18" customHeight="1" thickTop="1" x14ac:dyDescent="0.4">
      <c r="A33" s="63" t="s">
        <v>78</v>
      </c>
      <c r="B33" s="63"/>
      <c r="C33" s="63"/>
      <c r="D33" s="117"/>
      <c r="E33" s="65"/>
      <c r="F33" s="97"/>
      <c r="G33" s="98"/>
      <c r="H33" s="97"/>
      <c r="I33" s="99"/>
      <c r="J33" s="97"/>
      <c r="K33" s="98"/>
      <c r="L33" s="97"/>
      <c r="M33" s="7"/>
      <c r="U33" s="15"/>
      <c r="V33" s="15"/>
      <c r="W33" s="15"/>
      <c r="X33" s="15"/>
    </row>
    <row r="34" spans="1:24" ht="18" customHeight="1" x14ac:dyDescent="0.4">
      <c r="A34" s="63"/>
      <c r="B34" s="63" t="s">
        <v>121</v>
      </c>
      <c r="C34" s="63"/>
      <c r="D34" s="117"/>
      <c r="E34" s="66">
        <v>852812933</v>
      </c>
      <c r="F34" s="89">
        <f>+F32-F35</f>
        <v>4564733.2799999975</v>
      </c>
      <c r="G34" s="92"/>
      <c r="H34" s="89">
        <f>+H32-H35</f>
        <v>339589992.26000011</v>
      </c>
      <c r="I34" s="92"/>
      <c r="J34" s="92">
        <f>J32</f>
        <v>561094037.83999991</v>
      </c>
      <c r="K34" s="92"/>
      <c r="L34" s="92">
        <f>L32</f>
        <v>71469669.329999983</v>
      </c>
      <c r="M34" s="7"/>
      <c r="U34" s="15"/>
      <c r="V34" s="15"/>
      <c r="W34" s="15"/>
      <c r="X34" s="15"/>
    </row>
    <row r="35" spans="1:24" ht="18" customHeight="1" x14ac:dyDescent="0.4">
      <c r="A35" s="63"/>
      <c r="B35" s="6" t="s">
        <v>122</v>
      </c>
      <c r="D35" s="117"/>
      <c r="E35" s="66">
        <v>-1541152</v>
      </c>
      <c r="F35" s="89">
        <v>-1353275.73</v>
      </c>
      <c r="G35" s="88"/>
      <c r="H35" s="89">
        <v>19558501.719999999</v>
      </c>
      <c r="I35" s="99"/>
      <c r="J35" s="77">
        <v>0</v>
      </c>
      <c r="K35" s="108"/>
      <c r="L35" s="77">
        <v>0</v>
      </c>
      <c r="M35" s="7"/>
      <c r="U35" s="15"/>
      <c r="V35" s="15"/>
      <c r="W35" s="15"/>
      <c r="X35" s="15"/>
    </row>
    <row r="36" spans="1:24" ht="18" customHeight="1" thickBot="1" x14ac:dyDescent="0.45">
      <c r="A36" s="67"/>
      <c r="B36" s="67"/>
      <c r="C36" s="67"/>
      <c r="D36" s="117"/>
      <c r="E36" s="66"/>
      <c r="F36" s="95">
        <f>SUM(F34:F35)</f>
        <v>3211457.5499999975</v>
      </c>
      <c r="G36" s="98"/>
      <c r="H36" s="95">
        <f>SUM(H34:H35)</f>
        <v>359148493.98000014</v>
      </c>
      <c r="I36" s="98"/>
      <c r="J36" s="96">
        <f>SUM(J34:J35)</f>
        <v>561094037.83999991</v>
      </c>
      <c r="K36" s="98"/>
      <c r="L36" s="96">
        <f>SUM(L34:L35)</f>
        <v>71469669.329999983</v>
      </c>
      <c r="M36" s="7"/>
      <c r="U36" s="15"/>
      <c r="V36" s="15"/>
      <c r="W36" s="15"/>
      <c r="X36" s="15"/>
    </row>
    <row r="37" spans="1:24" ht="18" customHeight="1" thickTop="1" x14ac:dyDescent="0.4">
      <c r="A37" s="6" t="s">
        <v>26</v>
      </c>
      <c r="D37" s="118"/>
      <c r="F37" s="84"/>
      <c r="G37" s="84"/>
      <c r="H37" s="84"/>
      <c r="I37" s="52"/>
      <c r="J37" s="88"/>
      <c r="K37" s="80"/>
      <c r="L37" s="88"/>
      <c r="M37" s="7"/>
      <c r="U37" s="15"/>
      <c r="V37" s="15"/>
      <c r="W37" s="15"/>
      <c r="X37" s="15"/>
    </row>
    <row r="38" spans="1:24" ht="18" customHeight="1" thickBot="1" x14ac:dyDescent="0.45">
      <c r="B38" s="17" t="s">
        <v>70</v>
      </c>
      <c r="D38" s="119">
        <v>18</v>
      </c>
      <c r="F38" s="125">
        <f>F34/F39</f>
        <v>8.0969372428521622E-4</v>
      </c>
      <c r="G38" s="126"/>
      <c r="H38" s="125">
        <f>H34/H39</f>
        <v>6.0236572149290485E-2</v>
      </c>
      <c r="I38" s="127"/>
      <c r="J38" s="125">
        <f>J34/J39</f>
        <v>9.952702453907665E-2</v>
      </c>
      <c r="K38" s="127"/>
      <c r="L38" s="125">
        <f>L34/L39</f>
        <v>1.2677310848979245E-2</v>
      </c>
      <c r="M38" s="7"/>
      <c r="U38" s="15"/>
      <c r="V38" s="15"/>
      <c r="W38" s="15"/>
      <c r="X38" s="15"/>
    </row>
    <row r="39" spans="1:24" ht="18" customHeight="1" thickTop="1" thickBot="1" x14ac:dyDescent="0.45">
      <c r="B39" s="6" t="s">
        <v>27</v>
      </c>
      <c r="D39" s="53"/>
      <c r="F39" s="103">
        <v>5637604866</v>
      </c>
      <c r="G39" s="104"/>
      <c r="H39" s="103">
        <v>5637604866</v>
      </c>
      <c r="I39" s="104"/>
      <c r="J39" s="103">
        <v>5637604866</v>
      </c>
      <c r="K39" s="104"/>
      <c r="L39" s="103">
        <v>5637604866</v>
      </c>
      <c r="M39" s="7"/>
      <c r="U39" s="15"/>
      <c r="V39" s="15"/>
      <c r="W39" s="15"/>
      <c r="X39" s="15"/>
    </row>
    <row r="40" spans="1:24" ht="18" customHeight="1" thickTop="1" x14ac:dyDescent="0.4">
      <c r="A40" s="6" t="s">
        <v>56</v>
      </c>
      <c r="D40" s="53"/>
      <c r="F40" s="84"/>
      <c r="G40" s="84"/>
      <c r="H40" s="84"/>
      <c r="I40" s="52"/>
      <c r="J40" s="88"/>
      <c r="K40" s="80"/>
      <c r="L40" s="88"/>
      <c r="M40" s="7"/>
      <c r="U40" s="15"/>
      <c r="V40" s="15"/>
      <c r="W40" s="15"/>
      <c r="X40" s="15"/>
    </row>
    <row r="41" spans="1:24" ht="18" customHeight="1" thickBot="1" x14ac:dyDescent="0.45">
      <c r="B41" s="17" t="s">
        <v>70</v>
      </c>
      <c r="D41" s="119">
        <v>18</v>
      </c>
      <c r="F41" s="125">
        <f>F34/F42</f>
        <v>8.0969372428521622E-4</v>
      </c>
      <c r="G41" s="126"/>
      <c r="H41" s="125">
        <f>H34/H42</f>
        <v>6.0236572149290485E-2</v>
      </c>
      <c r="I41" s="127"/>
      <c r="J41" s="125">
        <f>J34/J42</f>
        <v>9.952702453907665E-2</v>
      </c>
      <c r="K41" s="127"/>
      <c r="L41" s="125">
        <f>L34/L42</f>
        <v>1.2677310848979245E-2</v>
      </c>
      <c r="M41" s="7"/>
      <c r="U41" s="15"/>
      <c r="V41" s="15"/>
      <c r="W41" s="15"/>
      <c r="X41" s="15"/>
    </row>
    <row r="42" spans="1:24" ht="18" customHeight="1" thickTop="1" thickBot="1" x14ac:dyDescent="0.45">
      <c r="B42" s="6" t="s">
        <v>27</v>
      </c>
      <c r="F42" s="103">
        <v>5637604866</v>
      </c>
      <c r="G42" s="105"/>
      <c r="H42" s="103">
        <v>5637604866</v>
      </c>
      <c r="I42" s="104"/>
      <c r="J42" s="103">
        <v>5637604866</v>
      </c>
      <c r="K42" s="104"/>
      <c r="L42" s="103">
        <v>5637604866</v>
      </c>
      <c r="M42" s="7"/>
      <c r="U42" s="15"/>
      <c r="V42" s="15"/>
      <c r="W42" s="15"/>
      <c r="X42" s="15"/>
    </row>
    <row r="43" spans="1:24" ht="18.75" thickTop="1" x14ac:dyDescent="0.4">
      <c r="F43" s="87"/>
      <c r="G43" s="87"/>
      <c r="H43" s="87"/>
      <c r="I43" s="52"/>
      <c r="J43" s="69"/>
      <c r="K43" s="52"/>
      <c r="L43" s="69"/>
      <c r="M43" s="7"/>
      <c r="U43" s="15"/>
      <c r="V43" s="15"/>
      <c r="W43" s="15"/>
      <c r="X43" s="15"/>
    </row>
    <row r="44" spans="1:24" ht="18" customHeight="1" x14ac:dyDescent="0.4">
      <c r="A44" s="6" t="s">
        <v>146</v>
      </c>
      <c r="F44" s="87"/>
      <c r="G44" s="87"/>
      <c r="H44" s="87"/>
      <c r="I44" s="52"/>
      <c r="J44" s="69"/>
      <c r="K44" s="52"/>
      <c r="L44" s="69"/>
      <c r="M44" s="7"/>
      <c r="U44" s="15"/>
      <c r="V44" s="15"/>
      <c r="W44" s="15"/>
      <c r="X44" s="15"/>
    </row>
    <row r="45" spans="1:24" ht="18" customHeight="1" x14ac:dyDescent="0.4">
      <c r="M45" s="7"/>
      <c r="U45" s="15"/>
      <c r="V45" s="15"/>
      <c r="W45" s="15"/>
      <c r="X45" s="15"/>
    </row>
    <row r="46" spans="1:24" ht="18" customHeight="1" x14ac:dyDescent="0.4">
      <c r="M46" s="7"/>
      <c r="U46" s="15"/>
      <c r="V46" s="15"/>
      <c r="W46" s="15"/>
      <c r="X46" s="15"/>
    </row>
    <row r="47" spans="1:24" ht="18" customHeight="1" x14ac:dyDescent="0.4">
      <c r="M47" s="7"/>
      <c r="U47" s="15"/>
      <c r="V47" s="15"/>
      <c r="W47" s="15"/>
      <c r="X47" s="15"/>
    </row>
    <row r="48" spans="1:24" ht="18" customHeight="1" x14ac:dyDescent="0.4">
      <c r="A48" s="7"/>
      <c r="B48" s="21" t="s">
        <v>21</v>
      </c>
      <c r="C48" s="7"/>
      <c r="D48" s="21"/>
      <c r="F48" s="21" t="s">
        <v>21</v>
      </c>
      <c r="I48" s="7"/>
      <c r="J48" s="7"/>
      <c r="K48" s="7"/>
      <c r="L48" s="7"/>
      <c r="M48" s="7"/>
      <c r="U48" s="15"/>
      <c r="V48" s="15"/>
      <c r="W48" s="15"/>
      <c r="X48" s="15"/>
    </row>
    <row r="49" spans="1:24" ht="18" customHeight="1" x14ac:dyDescent="0.4">
      <c r="A49" s="7"/>
      <c r="B49" s="21"/>
      <c r="C49" s="7"/>
      <c r="D49" s="21"/>
      <c r="F49" s="21"/>
      <c r="I49" s="7"/>
      <c r="J49" s="7"/>
      <c r="K49" s="7"/>
      <c r="L49" s="7"/>
      <c r="M49" s="7"/>
      <c r="U49" s="15"/>
      <c r="V49" s="15"/>
      <c r="W49" s="15"/>
      <c r="X49" s="15"/>
    </row>
    <row r="50" spans="1:24" ht="18" customHeight="1" x14ac:dyDescent="0.4">
      <c r="A50" s="132" t="str">
        <f>+A2</f>
        <v>บริษัท บรุ๊คเคอร์ กรุ๊ป จำกัด (มหาชน) และบริษัทย่อย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7"/>
      <c r="U50" s="15"/>
      <c r="V50" s="15"/>
      <c r="W50" s="15"/>
      <c r="X50" s="15"/>
    </row>
    <row r="51" spans="1:24" ht="18" customHeight="1" x14ac:dyDescent="0.4">
      <c r="A51" s="131" t="s">
        <v>107</v>
      </c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7"/>
      <c r="U51" s="15"/>
      <c r="V51" s="15"/>
      <c r="W51" s="15"/>
      <c r="X51" s="15"/>
    </row>
    <row r="52" spans="1:24" ht="18" customHeight="1" x14ac:dyDescent="0.4">
      <c r="A52" s="132" t="str">
        <f>+A4</f>
        <v>สำหรับปีสิ้นสุดวันที่ 31 ธันวาคม 2561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7"/>
      <c r="U52" s="15"/>
      <c r="V52" s="15"/>
      <c r="W52" s="15"/>
      <c r="X52" s="15"/>
    </row>
    <row r="53" spans="1:24" ht="18" customHeight="1" x14ac:dyDescent="0.4">
      <c r="C53" s="23"/>
      <c r="D53" s="23"/>
      <c r="E53" s="23"/>
      <c r="F53" s="128" t="s">
        <v>13</v>
      </c>
      <c r="G53" s="128"/>
      <c r="H53" s="128"/>
      <c r="I53" s="128"/>
      <c r="J53" s="128"/>
      <c r="K53" s="128"/>
      <c r="L53" s="128"/>
      <c r="M53" s="7"/>
      <c r="U53" s="15"/>
      <c r="V53" s="15"/>
      <c r="W53" s="15"/>
      <c r="X53" s="15"/>
    </row>
    <row r="54" spans="1:24" ht="18" customHeight="1" x14ac:dyDescent="0.4">
      <c r="C54" s="6" t="s">
        <v>1</v>
      </c>
      <c r="F54" s="129" t="s">
        <v>34</v>
      </c>
      <c r="G54" s="129"/>
      <c r="H54" s="129"/>
      <c r="J54" s="133" t="s">
        <v>35</v>
      </c>
      <c r="K54" s="133"/>
      <c r="L54" s="133"/>
      <c r="M54" s="7"/>
      <c r="U54" s="15"/>
      <c r="V54" s="15"/>
      <c r="W54" s="15"/>
      <c r="X54" s="15"/>
    </row>
    <row r="55" spans="1:24" ht="18" customHeight="1" x14ac:dyDescent="0.4">
      <c r="F55" s="129" t="str">
        <f>+F7</f>
        <v>สำหรับปีสิ้นสุดวันที่ 31 ธันวาคม</v>
      </c>
      <c r="G55" s="129"/>
      <c r="H55" s="129"/>
      <c r="J55" s="129" t="str">
        <f>+J7</f>
        <v>สำหรับปีสิ้นสุดวันที่ 31 ธันวาคม</v>
      </c>
      <c r="K55" s="129"/>
      <c r="L55" s="129"/>
      <c r="M55" s="7"/>
      <c r="U55" s="15"/>
      <c r="V55" s="15"/>
      <c r="W55" s="15"/>
      <c r="X55" s="15"/>
    </row>
    <row r="56" spans="1:24" ht="18" customHeight="1" x14ac:dyDescent="0.4">
      <c r="D56" s="39" t="s">
        <v>40</v>
      </c>
      <c r="E56" s="24"/>
      <c r="F56" s="57">
        <f>+F8</f>
        <v>2561</v>
      </c>
      <c r="G56" s="58"/>
      <c r="H56" s="57" t="str">
        <f>+H8</f>
        <v>2560</v>
      </c>
      <c r="I56" s="43"/>
      <c r="J56" s="57">
        <f>+J8</f>
        <v>2561</v>
      </c>
      <c r="K56" s="58"/>
      <c r="L56" s="57" t="str">
        <f>+L8</f>
        <v>2560</v>
      </c>
      <c r="M56" s="7"/>
      <c r="U56" s="15"/>
      <c r="V56" s="15"/>
      <c r="W56" s="15"/>
      <c r="X56" s="15"/>
    </row>
    <row r="57" spans="1:24" ht="18" customHeight="1" x14ac:dyDescent="0.4">
      <c r="F57" s="8"/>
      <c r="G57" s="8"/>
      <c r="H57" s="106"/>
      <c r="L57" s="106"/>
      <c r="M57" s="7"/>
      <c r="U57" s="15"/>
      <c r="V57" s="15"/>
      <c r="W57" s="15"/>
      <c r="X57" s="15"/>
    </row>
    <row r="58" spans="1:24" ht="18" customHeight="1" x14ac:dyDescent="0.4">
      <c r="A58" s="6" t="s">
        <v>149</v>
      </c>
      <c r="F58" s="94">
        <f>+F32</f>
        <v>3211457.549999997</v>
      </c>
      <c r="G58" s="84"/>
      <c r="H58" s="94">
        <f>+H32</f>
        <v>359148493.98000008</v>
      </c>
      <c r="I58" s="52"/>
      <c r="J58" s="94">
        <f>+J32</f>
        <v>561094037.83999991</v>
      </c>
      <c r="K58" s="52"/>
      <c r="L58" s="94">
        <f>+L32</f>
        <v>71469669.329999983</v>
      </c>
      <c r="M58" s="7"/>
      <c r="U58" s="15"/>
      <c r="V58" s="15"/>
      <c r="W58" s="15"/>
      <c r="X58" s="15"/>
    </row>
    <row r="59" spans="1:24" ht="18" customHeight="1" x14ac:dyDescent="0.4">
      <c r="F59" s="83"/>
      <c r="G59" s="84"/>
      <c r="H59" s="83"/>
      <c r="I59" s="52"/>
      <c r="J59" s="83"/>
      <c r="K59" s="52"/>
      <c r="L59" s="83"/>
      <c r="M59" s="7"/>
      <c r="U59" s="15"/>
      <c r="V59" s="15"/>
      <c r="W59" s="15"/>
      <c r="X59" s="15"/>
    </row>
    <row r="60" spans="1:24" ht="18" customHeight="1" x14ac:dyDescent="0.4">
      <c r="A60" s="6" t="s">
        <v>158</v>
      </c>
      <c r="F60" s="83"/>
      <c r="G60" s="84"/>
      <c r="H60" s="83"/>
      <c r="I60" s="52"/>
      <c r="J60" s="88"/>
      <c r="K60" s="52"/>
      <c r="L60" s="88"/>
      <c r="M60" s="7"/>
      <c r="U60" s="15"/>
      <c r="V60" s="15"/>
      <c r="W60" s="15"/>
      <c r="X60" s="15"/>
    </row>
    <row r="61" spans="1:24" ht="18" customHeight="1" x14ac:dyDescent="0.4">
      <c r="A61" s="6" t="s">
        <v>179</v>
      </c>
      <c r="F61" s="83"/>
      <c r="G61" s="84"/>
      <c r="H61" s="83"/>
      <c r="I61" s="52"/>
      <c r="J61" s="88"/>
      <c r="K61" s="52"/>
      <c r="L61" s="88"/>
      <c r="M61" s="7"/>
      <c r="U61" s="15"/>
      <c r="V61" s="15"/>
      <c r="W61" s="15"/>
      <c r="X61" s="15"/>
    </row>
    <row r="62" spans="1:24" ht="18" customHeight="1" x14ac:dyDescent="0.4">
      <c r="B62" s="6" t="s">
        <v>113</v>
      </c>
      <c r="F62" s="89">
        <v>-20654545.370000001</v>
      </c>
      <c r="G62" s="92"/>
      <c r="H62" s="89">
        <v>-91355495.469999999</v>
      </c>
      <c r="I62" s="80"/>
      <c r="J62" s="88">
        <v>0</v>
      </c>
      <c r="K62" s="80"/>
      <c r="L62" s="88">
        <v>0</v>
      </c>
      <c r="M62" s="7"/>
      <c r="S62" s="80"/>
      <c r="U62" s="15"/>
      <c r="V62" s="15"/>
      <c r="W62" s="15"/>
      <c r="X62" s="15"/>
    </row>
    <row r="63" spans="1:24" ht="18" customHeight="1" x14ac:dyDescent="0.4">
      <c r="A63" s="6" t="s">
        <v>180</v>
      </c>
      <c r="F63" s="89"/>
      <c r="G63" s="92"/>
      <c r="H63" s="89"/>
      <c r="I63" s="80"/>
      <c r="J63" s="88"/>
      <c r="K63" s="80"/>
      <c r="L63" s="88"/>
      <c r="M63" s="7"/>
      <c r="S63" s="80"/>
      <c r="U63" s="15"/>
      <c r="V63" s="15"/>
      <c r="W63" s="15"/>
      <c r="X63" s="15"/>
    </row>
    <row r="64" spans="1:24" ht="18" customHeight="1" x14ac:dyDescent="0.4">
      <c r="B64" s="6" t="s">
        <v>172</v>
      </c>
      <c r="F64" s="89"/>
      <c r="G64" s="92"/>
      <c r="H64" s="89"/>
      <c r="I64" s="80"/>
      <c r="J64" s="88"/>
      <c r="K64" s="80"/>
      <c r="L64" s="88"/>
      <c r="M64" s="7"/>
      <c r="S64" s="80"/>
      <c r="U64" s="15"/>
      <c r="V64" s="15"/>
      <c r="W64" s="15"/>
      <c r="X64" s="15"/>
    </row>
    <row r="65" spans="1:24" ht="18" customHeight="1" x14ac:dyDescent="0.4">
      <c r="C65" s="6" t="s">
        <v>173</v>
      </c>
      <c r="D65" s="53">
        <v>17</v>
      </c>
      <c r="F65" s="89">
        <v>4326999</v>
      </c>
      <c r="G65" s="92"/>
      <c r="H65" s="89">
        <v>-1844127</v>
      </c>
      <c r="I65" s="80"/>
      <c r="J65" s="88">
        <v>3731511</v>
      </c>
      <c r="K65" s="80"/>
      <c r="L65" s="88">
        <v>-2421974</v>
      </c>
      <c r="M65" s="7"/>
      <c r="S65" s="80"/>
      <c r="U65" s="15"/>
      <c r="V65" s="15"/>
      <c r="W65" s="15"/>
      <c r="X65" s="15"/>
    </row>
    <row r="66" spans="1:24" ht="18" customHeight="1" x14ac:dyDescent="0.4">
      <c r="B66" s="6" t="s">
        <v>200</v>
      </c>
      <c r="D66" s="53">
        <v>19.399999999999999</v>
      </c>
      <c r="F66" s="90">
        <v>-865399.8</v>
      </c>
      <c r="G66" s="84"/>
      <c r="H66" s="90">
        <v>368825.4</v>
      </c>
      <c r="I66" s="52"/>
      <c r="J66" s="90">
        <v>-746302.2</v>
      </c>
      <c r="K66" s="52"/>
      <c r="L66" s="90">
        <v>484394.8</v>
      </c>
      <c r="M66" s="7"/>
      <c r="S66" s="80"/>
      <c r="U66" s="15"/>
      <c r="V66" s="15"/>
      <c r="W66" s="15"/>
      <c r="X66" s="15"/>
    </row>
    <row r="67" spans="1:24" ht="18" customHeight="1" x14ac:dyDescent="0.4">
      <c r="A67" s="6" t="s">
        <v>159</v>
      </c>
      <c r="F67" s="101">
        <f>SUM(F62:F66)</f>
        <v>-17192946.170000002</v>
      </c>
      <c r="G67" s="84"/>
      <c r="H67" s="101">
        <f>SUM(H62:H66)</f>
        <v>-92830797.069999993</v>
      </c>
      <c r="I67" s="52"/>
      <c r="J67" s="101">
        <f>SUM(J62:J66)</f>
        <v>2985208.8</v>
      </c>
      <c r="K67" s="52"/>
      <c r="L67" s="101">
        <f>SUM(L62:L66)</f>
        <v>-1937579.2</v>
      </c>
      <c r="M67" s="7"/>
      <c r="U67" s="15"/>
      <c r="V67" s="15"/>
      <c r="W67" s="15"/>
      <c r="X67" s="15"/>
    </row>
    <row r="68" spans="1:24" ht="18" customHeight="1" x14ac:dyDescent="0.4">
      <c r="F68" s="83"/>
      <c r="G68" s="84"/>
      <c r="H68" s="83"/>
      <c r="I68" s="52"/>
      <c r="J68" s="69"/>
      <c r="K68" s="52"/>
      <c r="L68" s="69"/>
      <c r="M68" s="7"/>
      <c r="U68" s="15"/>
      <c r="V68" s="15"/>
      <c r="W68" s="15"/>
      <c r="X68" s="15"/>
    </row>
    <row r="69" spans="1:24" ht="18" customHeight="1" thickBot="1" x14ac:dyDescent="0.45">
      <c r="A69" s="6" t="s">
        <v>160</v>
      </c>
      <c r="F69" s="100">
        <f>+F58+F67</f>
        <v>-13981488.620000005</v>
      </c>
      <c r="G69" s="84"/>
      <c r="H69" s="100">
        <f>+H58+H67</f>
        <v>266317696.91000009</v>
      </c>
      <c r="I69" s="52"/>
      <c r="J69" s="100">
        <f>+J58+J67</f>
        <v>564079246.63999987</v>
      </c>
      <c r="K69" s="52"/>
      <c r="L69" s="100">
        <f>+L58+L67</f>
        <v>69532090.12999998</v>
      </c>
      <c r="M69" s="7"/>
      <c r="U69" s="15"/>
      <c r="V69" s="15"/>
      <c r="W69" s="15"/>
      <c r="X69" s="15"/>
    </row>
    <row r="70" spans="1:24" ht="18" customHeight="1" thickTop="1" x14ac:dyDescent="0.4">
      <c r="F70" s="87"/>
      <c r="G70" s="87"/>
      <c r="H70" s="87"/>
      <c r="I70" s="52"/>
      <c r="J70" s="69"/>
      <c r="K70" s="52"/>
      <c r="L70" s="69"/>
      <c r="M70" s="7"/>
      <c r="U70" s="15"/>
      <c r="V70" s="15"/>
      <c r="W70" s="15"/>
      <c r="X70" s="15"/>
    </row>
    <row r="71" spans="1:24" ht="18" customHeight="1" x14ac:dyDescent="0.4">
      <c r="A71" s="63" t="s">
        <v>119</v>
      </c>
      <c r="B71" s="63"/>
      <c r="C71" s="63"/>
      <c r="D71" s="64"/>
      <c r="E71" s="65"/>
      <c r="F71" s="97"/>
      <c r="G71" s="98"/>
      <c r="H71" s="97"/>
      <c r="I71" s="99"/>
      <c r="J71" s="97"/>
      <c r="K71" s="98"/>
      <c r="L71" s="97"/>
      <c r="M71" s="7"/>
      <c r="U71" s="15"/>
      <c r="V71" s="15"/>
      <c r="W71" s="15"/>
      <c r="X71" s="15"/>
    </row>
    <row r="72" spans="1:24" ht="18" customHeight="1" x14ac:dyDescent="0.4">
      <c r="A72" s="63"/>
      <c r="B72" s="63" t="s">
        <v>121</v>
      </c>
      <c r="C72" s="63"/>
      <c r="D72" s="64"/>
      <c r="E72" s="66">
        <v>852812933</v>
      </c>
      <c r="F72" s="89">
        <f>+F69-F73</f>
        <v>-12628212.890000004</v>
      </c>
      <c r="G72" s="92"/>
      <c r="H72" s="89">
        <f>+H69-H73</f>
        <v>246759195.19000009</v>
      </c>
      <c r="I72" s="92"/>
      <c r="J72" s="89">
        <f>+J69-J73</f>
        <v>564079246.63999987</v>
      </c>
      <c r="K72" s="92"/>
      <c r="L72" s="89">
        <f>+L69-L73</f>
        <v>69532090.12999998</v>
      </c>
      <c r="M72" s="7"/>
      <c r="U72" s="15"/>
      <c r="V72" s="15"/>
      <c r="W72" s="15"/>
      <c r="X72" s="15"/>
    </row>
    <row r="73" spans="1:24" ht="18" customHeight="1" x14ac:dyDescent="0.4">
      <c r="A73" s="63"/>
      <c r="B73" s="6" t="s">
        <v>122</v>
      </c>
      <c r="D73" s="64"/>
      <c r="E73" s="66">
        <v>-1541152</v>
      </c>
      <c r="F73" s="89">
        <f>+F35</f>
        <v>-1353275.73</v>
      </c>
      <c r="G73" s="88"/>
      <c r="H73" s="89">
        <f>+H35</f>
        <v>19558501.719999999</v>
      </c>
      <c r="I73" s="99"/>
      <c r="J73" s="89">
        <f>+J35</f>
        <v>0</v>
      </c>
      <c r="K73" s="99"/>
      <c r="L73" s="89">
        <f>+L35</f>
        <v>0</v>
      </c>
      <c r="M73" s="7"/>
      <c r="U73" s="15"/>
      <c r="V73" s="15"/>
      <c r="W73" s="15"/>
      <c r="X73" s="15"/>
    </row>
    <row r="74" spans="1:24" ht="18" customHeight="1" thickBot="1" x14ac:dyDescent="0.45">
      <c r="A74" s="67"/>
      <c r="B74" s="67"/>
      <c r="C74" s="67"/>
      <c r="D74" s="64"/>
      <c r="E74" s="66"/>
      <c r="F74" s="95">
        <f>SUM(F72:F73)</f>
        <v>-13981488.620000005</v>
      </c>
      <c r="G74" s="98"/>
      <c r="H74" s="95">
        <f>SUM(H72:H73)</f>
        <v>266317696.91000009</v>
      </c>
      <c r="I74" s="98"/>
      <c r="J74" s="95">
        <f>SUM(J72:J73)</f>
        <v>564079246.63999987</v>
      </c>
      <c r="K74" s="98"/>
      <c r="L74" s="95">
        <f>SUM(L72:L73)</f>
        <v>69532090.12999998</v>
      </c>
      <c r="M74" s="7"/>
      <c r="U74" s="15"/>
      <c r="V74" s="15"/>
      <c r="W74" s="15"/>
      <c r="X74" s="15"/>
    </row>
    <row r="75" spans="1:24" ht="18" customHeight="1" thickTop="1" x14ac:dyDescent="0.4">
      <c r="A75" s="15"/>
      <c r="B75" s="15"/>
      <c r="C75" s="15"/>
      <c r="D75" s="24"/>
      <c r="E75" s="24"/>
      <c r="F75" s="92"/>
      <c r="G75" s="92"/>
      <c r="H75" s="92"/>
      <c r="I75" s="80"/>
      <c r="J75" s="88"/>
      <c r="K75" s="80"/>
      <c r="L75" s="88"/>
      <c r="M75" s="7"/>
      <c r="U75" s="15"/>
      <c r="V75" s="15"/>
      <c r="W75" s="15"/>
      <c r="X75" s="15"/>
    </row>
    <row r="76" spans="1:24" ht="18" customHeight="1" x14ac:dyDescent="0.4">
      <c r="A76" s="6" t="s">
        <v>146</v>
      </c>
      <c r="B76" s="15"/>
      <c r="C76" s="15"/>
      <c r="D76" s="24"/>
      <c r="E76" s="24"/>
      <c r="F76" s="92"/>
      <c r="G76" s="92"/>
      <c r="H76" s="92"/>
      <c r="I76" s="80"/>
      <c r="J76" s="88"/>
      <c r="K76" s="80"/>
      <c r="L76" s="88"/>
      <c r="M76" s="7"/>
      <c r="U76" s="15"/>
      <c r="V76" s="15"/>
      <c r="W76" s="15"/>
      <c r="X76" s="15"/>
    </row>
    <row r="77" spans="1:24" ht="18" customHeight="1" x14ac:dyDescent="0.4">
      <c r="A77" s="15"/>
      <c r="B77" s="15"/>
      <c r="C77" s="15"/>
      <c r="D77" s="24"/>
      <c r="E77" s="24"/>
      <c r="F77" s="13"/>
      <c r="G77" s="13"/>
      <c r="H77" s="13"/>
      <c r="I77" s="15"/>
      <c r="J77" s="14"/>
      <c r="K77" s="35"/>
      <c r="L77" s="14"/>
      <c r="M77" s="7"/>
      <c r="U77" s="15"/>
      <c r="V77" s="15"/>
      <c r="W77" s="15"/>
      <c r="X77" s="15"/>
    </row>
    <row r="78" spans="1:24" ht="18" customHeight="1" x14ac:dyDescent="0.4">
      <c r="A78" s="15"/>
      <c r="B78" s="15"/>
      <c r="C78" s="15"/>
      <c r="D78" s="24"/>
      <c r="E78" s="24"/>
      <c r="F78" s="13"/>
      <c r="G78" s="13"/>
      <c r="H78" s="13"/>
      <c r="I78" s="15"/>
      <c r="J78" s="14"/>
      <c r="K78" s="35"/>
      <c r="L78" s="14"/>
      <c r="M78" s="7"/>
      <c r="U78" s="15"/>
      <c r="V78" s="15"/>
      <c r="W78" s="15"/>
      <c r="X78" s="15"/>
    </row>
    <row r="79" spans="1:24" ht="18" customHeight="1" x14ac:dyDescent="0.4">
      <c r="A79" s="15"/>
      <c r="B79" s="15"/>
      <c r="C79" s="15"/>
      <c r="D79" s="24"/>
      <c r="E79" s="24"/>
      <c r="F79" s="13"/>
      <c r="G79" s="13"/>
      <c r="H79" s="13"/>
      <c r="I79" s="15"/>
      <c r="J79" s="14"/>
      <c r="K79" s="35"/>
      <c r="L79" s="14"/>
      <c r="M79" s="7"/>
      <c r="U79" s="15"/>
      <c r="V79" s="15"/>
      <c r="W79" s="15"/>
      <c r="X79" s="15"/>
    </row>
    <row r="80" spans="1:24" ht="18" customHeight="1" x14ac:dyDescent="0.4">
      <c r="A80" s="15"/>
      <c r="B80" s="15"/>
      <c r="C80" s="15"/>
      <c r="D80" s="24"/>
      <c r="E80" s="24"/>
      <c r="F80" s="13"/>
      <c r="G80" s="13"/>
      <c r="H80" s="13"/>
      <c r="I80" s="15"/>
      <c r="J80" s="14"/>
      <c r="K80" s="35"/>
      <c r="L80" s="14"/>
      <c r="M80" s="7"/>
      <c r="U80" s="15"/>
      <c r="V80" s="15"/>
      <c r="W80" s="15"/>
      <c r="X80" s="15"/>
    </row>
    <row r="81" spans="1:24" ht="18" customHeight="1" x14ac:dyDescent="0.4">
      <c r="A81" s="15"/>
      <c r="B81" s="15"/>
      <c r="C81" s="15"/>
      <c r="D81" s="24"/>
      <c r="E81" s="24"/>
      <c r="F81" s="13"/>
      <c r="G81" s="13"/>
      <c r="H81" s="13"/>
      <c r="I81" s="15"/>
      <c r="J81" s="14"/>
      <c r="K81" s="35"/>
      <c r="L81" s="14"/>
      <c r="M81" s="7"/>
      <c r="U81" s="15"/>
      <c r="V81" s="15"/>
      <c r="W81" s="15"/>
      <c r="X81" s="15"/>
    </row>
    <row r="82" spans="1:24" ht="18" customHeight="1" x14ac:dyDescent="0.4">
      <c r="A82" s="15"/>
      <c r="B82" s="15"/>
      <c r="C82" s="15"/>
      <c r="D82" s="24"/>
      <c r="E82" s="24"/>
      <c r="F82" s="13"/>
      <c r="G82" s="13"/>
      <c r="H82" s="13"/>
      <c r="I82" s="15"/>
      <c r="J82" s="14"/>
      <c r="K82" s="35"/>
      <c r="L82" s="14"/>
      <c r="M82" s="7"/>
      <c r="U82" s="15"/>
      <c r="V82" s="15"/>
      <c r="W82" s="15"/>
      <c r="X82" s="15"/>
    </row>
    <row r="83" spans="1:24" ht="18" customHeight="1" x14ac:dyDescent="0.4">
      <c r="A83" s="15"/>
      <c r="B83" s="15"/>
      <c r="C83" s="15"/>
      <c r="D83" s="24"/>
      <c r="E83" s="24"/>
      <c r="F83" s="13"/>
      <c r="G83" s="13"/>
      <c r="H83" s="13"/>
      <c r="I83" s="15"/>
      <c r="J83" s="14"/>
      <c r="K83" s="35"/>
      <c r="L83" s="14"/>
      <c r="M83" s="7"/>
      <c r="U83" s="15"/>
      <c r="V83" s="15"/>
      <c r="W83" s="15"/>
      <c r="X83" s="15"/>
    </row>
    <row r="84" spans="1:24" ht="18" customHeight="1" x14ac:dyDescent="0.4">
      <c r="A84" s="15"/>
      <c r="B84" s="15"/>
      <c r="C84" s="15"/>
      <c r="D84" s="24"/>
      <c r="E84" s="24"/>
      <c r="F84" s="13"/>
      <c r="G84" s="13"/>
      <c r="H84" s="13"/>
      <c r="I84" s="15"/>
      <c r="J84" s="14"/>
      <c r="K84" s="35"/>
      <c r="L84" s="14"/>
      <c r="M84" s="7"/>
      <c r="U84" s="15"/>
      <c r="V84" s="15"/>
      <c r="W84" s="15"/>
      <c r="X84" s="15"/>
    </row>
    <row r="85" spans="1:24" ht="18" customHeight="1" x14ac:dyDescent="0.4">
      <c r="A85" s="15"/>
      <c r="B85" s="15"/>
      <c r="C85" s="15"/>
      <c r="D85" s="24"/>
      <c r="E85" s="24"/>
      <c r="F85" s="13"/>
      <c r="G85" s="13"/>
      <c r="H85" s="13"/>
      <c r="I85" s="15"/>
      <c r="J85" s="14"/>
      <c r="K85" s="35"/>
      <c r="L85" s="14"/>
      <c r="M85" s="7"/>
      <c r="U85" s="15"/>
      <c r="V85" s="15"/>
      <c r="W85" s="15"/>
      <c r="X85" s="15"/>
    </row>
    <row r="86" spans="1:24" ht="18" customHeight="1" x14ac:dyDescent="0.4">
      <c r="A86" s="15"/>
      <c r="B86" s="15"/>
      <c r="C86" s="15"/>
      <c r="D86" s="24"/>
      <c r="E86" s="24"/>
      <c r="F86" s="13"/>
      <c r="G86" s="13"/>
      <c r="H86" s="13"/>
      <c r="I86" s="15"/>
      <c r="J86" s="14"/>
      <c r="K86" s="35"/>
      <c r="L86" s="14"/>
      <c r="M86" s="7"/>
      <c r="U86" s="15"/>
      <c r="V86" s="15"/>
      <c r="W86" s="15"/>
      <c r="X86" s="15"/>
    </row>
    <row r="87" spans="1:24" ht="18" customHeight="1" x14ac:dyDescent="0.4">
      <c r="A87" s="15"/>
      <c r="B87" s="15"/>
      <c r="C87" s="15"/>
      <c r="D87" s="24"/>
      <c r="E87" s="24"/>
      <c r="F87" s="13"/>
      <c r="G87" s="13"/>
      <c r="H87" s="13"/>
      <c r="I87" s="15"/>
      <c r="J87" s="14"/>
      <c r="K87" s="35"/>
      <c r="L87" s="14"/>
      <c r="M87" s="7"/>
      <c r="U87" s="15"/>
      <c r="V87" s="15"/>
      <c r="W87" s="15"/>
      <c r="X87" s="15"/>
    </row>
    <row r="88" spans="1:24" ht="18" customHeight="1" x14ac:dyDescent="0.4">
      <c r="A88" s="15"/>
      <c r="B88" s="15"/>
      <c r="C88" s="15"/>
      <c r="D88" s="24"/>
      <c r="E88" s="24"/>
      <c r="F88" s="13"/>
      <c r="G88" s="13"/>
      <c r="H88" s="13"/>
      <c r="I88" s="15"/>
      <c r="J88" s="14"/>
      <c r="K88" s="35"/>
      <c r="L88" s="14"/>
      <c r="M88" s="7"/>
      <c r="U88" s="15"/>
      <c r="V88" s="15"/>
      <c r="W88" s="15"/>
      <c r="X88" s="15"/>
    </row>
    <row r="89" spans="1:24" ht="18" customHeight="1" x14ac:dyDescent="0.4">
      <c r="B89" s="15"/>
      <c r="C89" s="15"/>
      <c r="D89" s="72"/>
      <c r="E89" s="24"/>
      <c r="F89" s="13"/>
      <c r="G89" s="13"/>
      <c r="H89" s="13"/>
      <c r="I89" s="15"/>
      <c r="J89" s="14"/>
      <c r="K89" s="15"/>
      <c r="L89" s="14"/>
      <c r="M89" s="7"/>
      <c r="U89" s="15"/>
      <c r="V89" s="15"/>
      <c r="W89" s="15"/>
      <c r="X89" s="15"/>
    </row>
    <row r="90" spans="1:24" ht="18" customHeight="1" x14ac:dyDescent="0.4">
      <c r="A90" s="15"/>
      <c r="B90" s="15"/>
      <c r="C90" s="15"/>
      <c r="D90" s="24"/>
      <c r="E90" s="24"/>
      <c r="F90" s="24"/>
      <c r="G90" s="24"/>
      <c r="H90" s="24"/>
      <c r="I90" s="15"/>
      <c r="J90" s="14"/>
      <c r="K90" s="15"/>
      <c r="L90" s="14"/>
      <c r="M90" s="7"/>
      <c r="U90" s="15"/>
      <c r="V90" s="15"/>
      <c r="W90" s="15"/>
      <c r="X90" s="15"/>
    </row>
    <row r="91" spans="1:24" ht="18" customHeight="1" x14ac:dyDescent="0.4">
      <c r="A91" s="15"/>
      <c r="B91" s="15"/>
      <c r="C91" s="15"/>
      <c r="D91" s="24"/>
      <c r="E91" s="24"/>
      <c r="F91" s="13"/>
      <c r="G91" s="13"/>
      <c r="H91" s="13"/>
      <c r="I91" s="15"/>
      <c r="J91" s="14"/>
      <c r="K91" s="15"/>
      <c r="L91" s="14"/>
      <c r="M91" s="7"/>
      <c r="U91" s="15"/>
      <c r="V91" s="15"/>
      <c r="W91" s="15"/>
      <c r="X91" s="15"/>
    </row>
    <row r="92" spans="1:24" ht="18" customHeight="1" x14ac:dyDescent="0.4">
      <c r="A92" s="15"/>
      <c r="B92" s="16"/>
      <c r="C92" s="15"/>
      <c r="D92" s="73"/>
      <c r="E92" s="24"/>
      <c r="F92" s="14"/>
      <c r="G92" s="13"/>
      <c r="H92" s="14"/>
      <c r="I92" s="16"/>
      <c r="J92" s="14"/>
      <c r="K92" s="16"/>
      <c r="L92" s="14"/>
      <c r="M92" s="7"/>
      <c r="U92" s="15"/>
      <c r="V92" s="15"/>
      <c r="W92" s="15"/>
      <c r="X92" s="15"/>
    </row>
    <row r="93" spans="1:24" ht="18" customHeight="1" x14ac:dyDescent="0.4">
      <c r="M93" s="7"/>
      <c r="U93" s="15"/>
      <c r="V93" s="15"/>
      <c r="W93" s="15"/>
      <c r="X93" s="15"/>
    </row>
    <row r="94" spans="1:24" ht="18" customHeight="1" x14ac:dyDescent="0.4">
      <c r="M94" s="7"/>
      <c r="U94" s="15"/>
      <c r="V94" s="15"/>
      <c r="W94" s="15"/>
      <c r="X94" s="15"/>
    </row>
    <row r="95" spans="1:24" ht="18" customHeight="1" x14ac:dyDescent="0.4">
      <c r="A95" s="7"/>
      <c r="B95" s="21" t="s">
        <v>21</v>
      </c>
      <c r="C95" s="7"/>
      <c r="D95" s="21"/>
      <c r="F95" s="21" t="s">
        <v>21</v>
      </c>
      <c r="I95" s="7"/>
      <c r="J95" s="7"/>
      <c r="K95" s="7"/>
      <c r="L95" s="7"/>
      <c r="M95" s="7"/>
      <c r="U95" s="15"/>
      <c r="V95" s="15"/>
      <c r="W95" s="15"/>
      <c r="X95" s="15"/>
    </row>
    <row r="96" spans="1:24" ht="18" customHeight="1" x14ac:dyDescent="0.4">
      <c r="A96" s="7"/>
      <c r="B96" s="21"/>
      <c r="C96" s="7"/>
      <c r="D96" s="21"/>
      <c r="F96" s="21"/>
      <c r="I96" s="7"/>
      <c r="J96" s="7"/>
      <c r="K96" s="7"/>
      <c r="L96" s="7"/>
      <c r="M96" s="7"/>
      <c r="U96" s="15"/>
      <c r="V96" s="15"/>
      <c r="W96" s="15"/>
      <c r="X96" s="15"/>
    </row>
    <row r="97" spans="1:24" ht="18" customHeight="1" x14ac:dyDescent="0.4">
      <c r="A97" s="130"/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U97" s="15"/>
      <c r="V97" s="15"/>
      <c r="W97" s="15"/>
      <c r="X97" s="15"/>
    </row>
  </sheetData>
  <mergeCells count="17">
    <mergeCell ref="A2:L2"/>
    <mergeCell ref="F7:H7"/>
    <mergeCell ref="A3:L3"/>
    <mergeCell ref="F6:H6"/>
    <mergeCell ref="A4:L4"/>
    <mergeCell ref="F5:L5"/>
    <mergeCell ref="J6:L6"/>
    <mergeCell ref="J7:L7"/>
    <mergeCell ref="A50:L50"/>
    <mergeCell ref="A97:L97"/>
    <mergeCell ref="F53:L53"/>
    <mergeCell ref="F54:H54"/>
    <mergeCell ref="J54:L54"/>
    <mergeCell ref="F55:H55"/>
    <mergeCell ref="A51:L51"/>
    <mergeCell ref="A52:L52"/>
    <mergeCell ref="J55:L55"/>
  </mergeCells>
  <phoneticPr fontId="0" type="noConversion"/>
  <conditionalFormatting sqref="K73:K74 I73:I74 G73:G74 E71:E74 F71:G71 K35:K36 I36 G35:G36 I35:J35 E33:E36 F33:G33 I33:K33 I71:K71">
    <cfRule type="expression" priority="6" stopIfTrue="1">
      <formula>"if(E11&gt;0,#,##0;(#,##0),"-")"</formula>
    </cfRule>
  </conditionalFormatting>
  <conditionalFormatting sqref="L71">
    <cfRule type="expression" priority="1" stopIfTrue="1">
      <formula>"if(E11&gt;0,#,##0;(#,##0),"-")"</formula>
    </cfRule>
  </conditionalFormatting>
  <conditionalFormatting sqref="H33">
    <cfRule type="expression" priority="4" stopIfTrue="1">
      <formula>"if(E11&gt;0,#,##0;(#,##0),"-")"</formula>
    </cfRule>
  </conditionalFormatting>
  <conditionalFormatting sqref="L35 L33">
    <cfRule type="expression" priority="3" stopIfTrue="1">
      <formula>"if(E11&gt;0,#,##0;(#,##0),"-")"</formula>
    </cfRule>
  </conditionalFormatting>
  <conditionalFormatting sqref="H71">
    <cfRule type="expression" priority="2" stopIfTrue="1">
      <formula>"if(E11&gt;0,#,##0;(#,##0),"-")"</formula>
    </cfRule>
  </conditionalFormatting>
  <pageMargins left="0.51" right="0" top="0.59055118110236227" bottom="0" header="0.43307086614173229" footer="0"/>
  <pageSetup paperSize="9" scale="95" firstPageNumber="6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&amp;C&amp;P</oddFooter>
  </headerFooter>
  <rowBreaks count="1" manualBreakCount="1">
    <brk id="48" max="11" man="1"/>
  </rowBreaks>
  <ignoredErrors>
    <ignoredError sqref="G56 I56 K56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"/>
  <sheetViews>
    <sheetView view="pageBreakPreview" zoomScale="80" zoomScaleNormal="86" zoomScaleSheetLayoutView="80" workbookViewId="0">
      <selection activeCell="P28" sqref="P28:T30"/>
    </sheetView>
  </sheetViews>
  <sheetFormatPr defaultRowHeight="18" x14ac:dyDescent="0.4"/>
  <cols>
    <col min="1" max="1" width="39.42578125" style="6" customWidth="1"/>
    <col min="2" max="2" width="6.5703125" style="6" customWidth="1"/>
    <col min="3" max="3" width="0.7109375" style="6" customWidth="1"/>
    <col min="4" max="4" width="11.7109375" style="6" bestFit="1" customWidth="1"/>
    <col min="5" max="5" width="1" style="6" customWidth="1"/>
    <col min="6" max="6" width="12.28515625" style="6" customWidth="1"/>
    <col min="7" max="7" width="1" style="6" hidden="1" customWidth="1"/>
    <col min="8" max="8" width="11.85546875" style="6" hidden="1" customWidth="1"/>
    <col min="9" max="9" width="1" style="6" customWidth="1"/>
    <col min="10" max="10" width="11.85546875" style="6" hidden="1" customWidth="1"/>
    <col min="11" max="11" width="1.28515625" style="6" hidden="1" customWidth="1"/>
    <col min="12" max="12" width="11.85546875" style="6" hidden="1" customWidth="1"/>
    <col min="13" max="13" width="1.140625" style="6" hidden="1" customWidth="1"/>
    <col min="14" max="14" width="12" style="6" bestFit="1" customWidth="1"/>
    <col min="15" max="15" width="1.140625" style="6" customWidth="1"/>
    <col min="16" max="16" width="12.7109375" style="6" customWidth="1"/>
    <col min="17" max="17" width="1" style="6" customWidth="1"/>
    <col min="18" max="18" width="13.28515625" style="6" customWidth="1"/>
    <col min="19" max="19" width="1" style="6" customWidth="1"/>
    <col min="20" max="20" width="14.7109375" style="6" customWidth="1"/>
    <col min="21" max="21" width="1" style="6" customWidth="1"/>
    <col min="22" max="22" width="13.28515625" style="6" customWidth="1"/>
    <col min="23" max="23" width="1" style="6" customWidth="1"/>
    <col min="24" max="24" width="12.85546875" style="6" bestFit="1" customWidth="1"/>
    <col min="25" max="25" width="0.7109375" style="6" customWidth="1"/>
    <col min="26" max="26" width="11.85546875" style="6" customWidth="1"/>
    <col min="27" max="27" width="0.7109375" style="6" customWidth="1"/>
    <col min="28" max="28" width="14.140625" style="6" customWidth="1"/>
    <col min="29" max="29" width="11.28515625" style="6" hidden="1" customWidth="1"/>
    <col min="30" max="30" width="10.5703125" style="6" customWidth="1"/>
    <col min="31" max="31" width="16.85546875" style="6" customWidth="1"/>
    <col min="32" max="16384" width="9.140625" style="6"/>
  </cols>
  <sheetData>
    <row r="1" spans="1:31" ht="8.25" customHeight="1" x14ac:dyDescent="0.4">
      <c r="Z1" s="135"/>
      <c r="AA1" s="135"/>
      <c r="AB1" s="135"/>
    </row>
    <row r="2" spans="1:31" x14ac:dyDescent="0.4">
      <c r="A2" s="132" t="s">
        <v>52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</row>
    <row r="3" spans="1:31" x14ac:dyDescent="0.4">
      <c r="A3" s="132" t="s">
        <v>129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</row>
    <row r="4" spans="1:31" x14ac:dyDescent="0.4">
      <c r="A4" s="132" t="s">
        <v>34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</row>
    <row r="5" spans="1:31" x14ac:dyDescent="0.4">
      <c r="A5" s="132" t="s">
        <v>218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</row>
    <row r="6" spans="1:31" ht="5.25" customHeight="1" x14ac:dyDescent="0.4">
      <c r="A6" s="2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31" ht="17.25" customHeight="1" x14ac:dyDescent="0.4">
      <c r="A7" s="26"/>
      <c r="B7" s="5"/>
      <c r="C7" s="5"/>
      <c r="D7" s="136" t="s">
        <v>13</v>
      </c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</row>
    <row r="8" spans="1:31" x14ac:dyDescent="0.4">
      <c r="D8" s="11"/>
      <c r="E8" s="11"/>
      <c r="F8" s="11"/>
      <c r="G8" s="11"/>
      <c r="H8" s="11"/>
      <c r="I8" s="11"/>
      <c r="J8" s="60" t="s">
        <v>71</v>
      </c>
      <c r="K8" s="29"/>
      <c r="L8" s="29" t="s">
        <v>66</v>
      </c>
      <c r="M8" s="29"/>
      <c r="N8" s="133" t="s">
        <v>19</v>
      </c>
      <c r="O8" s="133"/>
      <c r="P8" s="133"/>
      <c r="Q8" s="30"/>
      <c r="R8" s="137" t="s">
        <v>125</v>
      </c>
      <c r="S8" s="137"/>
      <c r="T8" s="137"/>
      <c r="U8" s="137"/>
      <c r="V8" s="137"/>
      <c r="W8" s="30"/>
      <c r="X8" s="74"/>
      <c r="Y8" s="74"/>
      <c r="Z8" s="74" t="s">
        <v>109</v>
      </c>
    </row>
    <row r="9" spans="1:31" x14ac:dyDescent="0.4">
      <c r="D9" s="11"/>
      <c r="E9" s="11"/>
      <c r="F9" s="29" t="s">
        <v>185</v>
      </c>
      <c r="G9" s="11"/>
      <c r="H9" s="29"/>
      <c r="I9" s="11"/>
      <c r="J9" s="60"/>
      <c r="K9" s="29"/>
      <c r="L9" s="29"/>
      <c r="M9" s="29"/>
      <c r="N9" s="30"/>
      <c r="O9" s="30"/>
      <c r="P9" s="30"/>
      <c r="Q9" s="30"/>
      <c r="R9" s="29" t="s">
        <v>165</v>
      </c>
      <c r="S9" s="30"/>
      <c r="T9" s="111" t="s">
        <v>168</v>
      </c>
      <c r="U9" s="30"/>
      <c r="V9" s="78" t="s">
        <v>115</v>
      </c>
      <c r="W9" s="30"/>
      <c r="X9" s="30" t="s">
        <v>100</v>
      </c>
      <c r="Y9" s="30"/>
      <c r="Z9" s="30" t="s">
        <v>110</v>
      </c>
    </row>
    <row r="10" spans="1:31" x14ac:dyDescent="0.4">
      <c r="D10" s="31" t="s">
        <v>22</v>
      </c>
      <c r="E10" s="31"/>
      <c r="F10" s="29" t="s">
        <v>186</v>
      </c>
      <c r="G10" s="31"/>
      <c r="H10" s="29" t="s">
        <v>66</v>
      </c>
      <c r="I10" s="29"/>
      <c r="J10" s="61" t="s">
        <v>72</v>
      </c>
      <c r="K10" s="29"/>
      <c r="L10" s="29" t="s">
        <v>67</v>
      </c>
      <c r="M10" s="29"/>
      <c r="N10" s="47" t="s">
        <v>23</v>
      </c>
      <c r="O10" s="38"/>
      <c r="P10" s="23"/>
      <c r="Q10" s="23"/>
      <c r="R10" s="7" t="s">
        <v>167</v>
      </c>
      <c r="S10" s="29"/>
      <c r="T10" s="109" t="s">
        <v>169</v>
      </c>
      <c r="U10" s="29"/>
      <c r="V10" s="29" t="s">
        <v>116</v>
      </c>
      <c r="W10" s="23"/>
      <c r="X10" s="30" t="s">
        <v>101</v>
      </c>
      <c r="Y10" s="30"/>
      <c r="Z10" s="30" t="s">
        <v>111</v>
      </c>
    </row>
    <row r="11" spans="1:31" x14ac:dyDescent="0.4">
      <c r="B11" s="39" t="s">
        <v>40</v>
      </c>
      <c r="D11" s="40" t="s">
        <v>24</v>
      </c>
      <c r="E11" s="33"/>
      <c r="F11" s="37" t="s">
        <v>25</v>
      </c>
      <c r="G11" s="33"/>
      <c r="H11" s="37" t="s">
        <v>67</v>
      </c>
      <c r="I11" s="32"/>
      <c r="J11" s="62" t="s">
        <v>73</v>
      </c>
      <c r="K11" s="32"/>
      <c r="L11" s="37"/>
      <c r="M11" s="32"/>
      <c r="N11" s="48" t="s">
        <v>20</v>
      </c>
      <c r="O11" s="38"/>
      <c r="P11" s="41" t="s">
        <v>3</v>
      </c>
      <c r="Q11" s="30"/>
      <c r="R11" s="37" t="s">
        <v>166</v>
      </c>
      <c r="S11" s="32"/>
      <c r="T11" s="110" t="s">
        <v>170</v>
      </c>
      <c r="U11" s="32"/>
      <c r="V11" s="37" t="s">
        <v>124</v>
      </c>
      <c r="W11" s="30"/>
      <c r="X11" s="41"/>
      <c r="Y11" s="30"/>
      <c r="Z11" s="41" t="s">
        <v>112</v>
      </c>
      <c r="AB11" s="39" t="s">
        <v>28</v>
      </c>
      <c r="AE11" s="32"/>
    </row>
    <row r="12" spans="1:31" x14ac:dyDescent="0.4">
      <c r="C12" s="32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30"/>
      <c r="O12" s="32"/>
      <c r="P12" s="45"/>
      <c r="Q12" s="45"/>
      <c r="R12" s="45"/>
      <c r="S12" s="45"/>
      <c r="T12" s="45"/>
      <c r="U12" s="45"/>
      <c r="V12" s="45"/>
      <c r="W12" s="45"/>
      <c r="X12" s="45"/>
      <c r="Y12" s="33"/>
      <c r="Z12" s="33"/>
      <c r="AB12" s="45"/>
    </row>
    <row r="13" spans="1:31" x14ac:dyDescent="0.4">
      <c r="A13" s="15" t="s">
        <v>192</v>
      </c>
      <c r="B13" s="34"/>
      <c r="C13" s="34"/>
      <c r="D13" s="88">
        <v>704700608.25</v>
      </c>
      <c r="E13" s="88"/>
      <c r="F13" s="88">
        <v>144890157.11000001</v>
      </c>
      <c r="G13" s="88"/>
      <c r="H13" s="88">
        <v>0</v>
      </c>
      <c r="I13" s="88"/>
      <c r="J13" s="88">
        <v>0</v>
      </c>
      <c r="K13" s="88"/>
      <c r="L13" s="88">
        <v>0</v>
      </c>
      <c r="M13" s="88"/>
      <c r="N13" s="88">
        <v>70591864.099999994</v>
      </c>
      <c r="O13" s="88"/>
      <c r="P13" s="88">
        <v>1561841705.8499999</v>
      </c>
      <c r="Q13" s="88"/>
      <c r="R13" s="88">
        <v>88770937.790000007</v>
      </c>
      <c r="S13" s="88"/>
      <c r="T13" s="88">
        <v>0</v>
      </c>
      <c r="U13" s="88"/>
      <c r="V13" s="88">
        <f>+T13+R13</f>
        <v>88770937.790000007</v>
      </c>
      <c r="W13" s="88"/>
      <c r="X13" s="88">
        <f>SUM(D13:P13)+V13</f>
        <v>2570795273.0999999</v>
      </c>
      <c r="Y13" s="88"/>
      <c r="Z13" s="88">
        <v>56736251.079999998</v>
      </c>
      <c r="AA13" s="80"/>
      <c r="AB13" s="88">
        <f>+X13+Z13</f>
        <v>2627531524.1799998</v>
      </c>
    </row>
    <row r="14" spans="1:31" ht="8.25" customHeight="1" x14ac:dyDescent="0.4">
      <c r="A14" s="15"/>
      <c r="B14" s="34"/>
      <c r="C14" s="34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69"/>
      <c r="AB14" s="88"/>
    </row>
    <row r="15" spans="1:31" x14ac:dyDescent="0.4">
      <c r="A15" s="15" t="s">
        <v>130</v>
      </c>
      <c r="B15" s="34"/>
      <c r="C15" s="34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69"/>
      <c r="AB15" s="88"/>
    </row>
    <row r="16" spans="1:31" x14ac:dyDescent="0.4">
      <c r="A16" s="6" t="s">
        <v>156</v>
      </c>
      <c r="B16" s="24">
        <v>20</v>
      </c>
      <c r="C16" s="34"/>
      <c r="D16" s="88">
        <v>0</v>
      </c>
      <c r="E16" s="88"/>
      <c r="F16" s="88">
        <v>0</v>
      </c>
      <c r="G16" s="88"/>
      <c r="H16" s="88">
        <v>0</v>
      </c>
      <c r="I16" s="88"/>
      <c r="J16" s="88"/>
      <c r="K16" s="88"/>
      <c r="L16" s="88"/>
      <c r="M16" s="88"/>
      <c r="N16" s="88">
        <v>0</v>
      </c>
      <c r="O16" s="69"/>
      <c r="P16" s="88">
        <v>-391866939.95999998</v>
      </c>
      <c r="Q16" s="88"/>
      <c r="R16" s="88">
        <v>0</v>
      </c>
      <c r="S16" s="88"/>
      <c r="T16" s="88">
        <v>0</v>
      </c>
      <c r="U16" s="88"/>
      <c r="V16" s="88">
        <f>+T16+R16</f>
        <v>0</v>
      </c>
      <c r="W16" s="88"/>
      <c r="X16" s="88">
        <f>SUM(D16:P16)+V16</f>
        <v>-391866939.95999998</v>
      </c>
      <c r="Y16" s="88"/>
      <c r="Z16" s="88">
        <v>0</v>
      </c>
      <c r="AA16" s="69"/>
      <c r="AB16" s="88">
        <f>+X16+Z16</f>
        <v>-391866939.95999998</v>
      </c>
    </row>
    <row r="17" spans="1:30" x14ac:dyDescent="0.4">
      <c r="A17" s="6" t="s">
        <v>150</v>
      </c>
      <c r="B17" s="7"/>
      <c r="D17" s="88">
        <v>0</v>
      </c>
      <c r="E17" s="88"/>
      <c r="F17" s="88">
        <v>0</v>
      </c>
      <c r="G17" s="69"/>
      <c r="H17" s="88">
        <v>0</v>
      </c>
      <c r="I17" s="88"/>
      <c r="J17" s="88"/>
      <c r="K17" s="88"/>
      <c r="L17" s="88"/>
      <c r="M17" s="88"/>
      <c r="N17" s="88">
        <v>0</v>
      </c>
      <c r="O17" s="69"/>
      <c r="P17" s="88">
        <f>+'งบกำไรขาดทุน Q4_61'!H34</f>
        <v>339589992.26000011</v>
      </c>
      <c r="Q17" s="88"/>
      <c r="R17" s="88">
        <f>+'งบกำไรขาดทุน Q4_61'!H62</f>
        <v>-91355495.469999999</v>
      </c>
      <c r="S17" s="88"/>
      <c r="T17" s="88">
        <f>-T20</f>
        <v>-1475301.6</v>
      </c>
      <c r="U17" s="88"/>
      <c r="V17" s="88">
        <f>+T17+R17</f>
        <v>-92830797.069999993</v>
      </c>
      <c r="W17" s="88"/>
      <c r="X17" s="88">
        <f>SUM(D17:P17)+V17</f>
        <v>246759195.19000012</v>
      </c>
      <c r="Y17" s="88"/>
      <c r="Z17" s="88">
        <v>19558501.719999999</v>
      </c>
      <c r="AA17" s="52"/>
      <c r="AB17" s="88">
        <f>+X17+Z17</f>
        <v>266317696.91000012</v>
      </c>
    </row>
    <row r="18" spans="1:30" x14ac:dyDescent="0.4">
      <c r="A18" s="15" t="s">
        <v>214</v>
      </c>
      <c r="B18" s="7"/>
      <c r="D18" s="88">
        <v>0</v>
      </c>
      <c r="E18" s="88"/>
      <c r="F18" s="88">
        <v>0</v>
      </c>
      <c r="G18" s="88"/>
      <c r="H18" s="88">
        <v>0</v>
      </c>
      <c r="I18" s="88"/>
      <c r="J18" s="88"/>
      <c r="K18" s="88"/>
      <c r="L18" s="88"/>
      <c r="M18" s="88"/>
      <c r="N18" s="88">
        <v>0</v>
      </c>
      <c r="O18" s="88"/>
      <c r="P18" s="88">
        <v>0</v>
      </c>
      <c r="Q18" s="88"/>
      <c r="R18" s="88">
        <v>0</v>
      </c>
      <c r="S18" s="88"/>
      <c r="T18" s="88">
        <v>0</v>
      </c>
      <c r="U18" s="88"/>
      <c r="V18" s="88">
        <f>+T18+R18</f>
        <v>0</v>
      </c>
      <c r="W18" s="88"/>
      <c r="X18" s="88">
        <f>SUM(D18:P18)+V18</f>
        <v>0</v>
      </c>
      <c r="Y18" s="88"/>
      <c r="Z18" s="88">
        <v>-452.27</v>
      </c>
      <c r="AA18" s="88"/>
      <c r="AB18" s="88">
        <f>+X18+Z18</f>
        <v>-452.27</v>
      </c>
    </row>
    <row r="19" spans="1:30" x14ac:dyDescent="0.4">
      <c r="A19" s="15" t="s">
        <v>201</v>
      </c>
      <c r="B19" s="7"/>
      <c r="D19" s="88"/>
      <c r="E19" s="88"/>
      <c r="F19" s="88"/>
      <c r="G19" s="69"/>
      <c r="H19" s="88"/>
      <c r="I19" s="88"/>
      <c r="J19" s="88"/>
      <c r="K19" s="88"/>
      <c r="L19" s="88"/>
      <c r="M19" s="88"/>
      <c r="N19" s="88"/>
      <c r="O19" s="69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52"/>
      <c r="AB19" s="88"/>
    </row>
    <row r="20" spans="1:30" x14ac:dyDescent="0.4">
      <c r="A20" s="15" t="s">
        <v>202</v>
      </c>
      <c r="B20" s="7"/>
      <c r="D20" s="88">
        <v>0</v>
      </c>
      <c r="E20" s="88"/>
      <c r="F20" s="88">
        <v>0</v>
      </c>
      <c r="G20" s="88"/>
      <c r="H20" s="88">
        <v>0</v>
      </c>
      <c r="I20" s="88"/>
      <c r="J20" s="88"/>
      <c r="K20" s="88"/>
      <c r="L20" s="88"/>
      <c r="M20" s="88"/>
      <c r="N20" s="88">
        <v>0</v>
      </c>
      <c r="O20" s="69"/>
      <c r="P20" s="88">
        <v>-1475301.6</v>
      </c>
      <c r="Q20" s="88"/>
      <c r="R20" s="88">
        <v>0</v>
      </c>
      <c r="S20" s="88"/>
      <c r="T20" s="88">
        <f>-P20</f>
        <v>1475301.6</v>
      </c>
      <c r="U20" s="88"/>
      <c r="V20" s="88">
        <f>+T20+R20</f>
        <v>1475301.6</v>
      </c>
      <c r="W20" s="88"/>
      <c r="X20" s="88">
        <f>SUM(D20:P20)+V20</f>
        <v>0</v>
      </c>
      <c r="Y20" s="88"/>
      <c r="Z20" s="88">
        <v>0</v>
      </c>
      <c r="AA20" s="69"/>
      <c r="AB20" s="88">
        <f>+X20+Z20</f>
        <v>0</v>
      </c>
    </row>
    <row r="21" spans="1:30" s="15" customFormat="1" ht="9" customHeight="1" x14ac:dyDescent="0.4">
      <c r="A21" s="6"/>
      <c r="B21" s="7"/>
      <c r="C21" s="6"/>
      <c r="D21" s="90"/>
      <c r="E21" s="88"/>
      <c r="F21" s="90"/>
      <c r="G21" s="80"/>
      <c r="H21" s="90"/>
      <c r="I21" s="88"/>
      <c r="J21" s="88"/>
      <c r="K21" s="88"/>
      <c r="L21" s="88"/>
      <c r="M21" s="88"/>
      <c r="N21" s="90"/>
      <c r="O21" s="102"/>
      <c r="P21" s="90"/>
      <c r="Q21" s="88"/>
      <c r="R21" s="90"/>
      <c r="S21" s="88"/>
      <c r="T21" s="90"/>
      <c r="U21" s="88"/>
      <c r="V21" s="90"/>
      <c r="W21" s="88"/>
      <c r="X21" s="90"/>
      <c r="Y21" s="88"/>
      <c r="Z21" s="90"/>
      <c r="AA21" s="88"/>
      <c r="AB21" s="90"/>
    </row>
    <row r="22" spans="1:30" ht="18.75" thickBot="1" x14ac:dyDescent="0.45">
      <c r="A22" s="15" t="s">
        <v>193</v>
      </c>
      <c r="D22" s="100">
        <f>SUM(D13:D21)</f>
        <v>704700608.25</v>
      </c>
      <c r="E22" s="88"/>
      <c r="F22" s="100">
        <f>SUM(F13:F21)</f>
        <v>144890157.11000001</v>
      </c>
      <c r="G22" s="69"/>
      <c r="H22" s="100">
        <f>SUM(H13:H21)</f>
        <v>0</v>
      </c>
      <c r="I22" s="88"/>
      <c r="J22" s="100">
        <f>SUM(J13:J21)</f>
        <v>0</v>
      </c>
      <c r="K22" s="88"/>
      <c r="L22" s="100">
        <f>SUM(L13:L21)</f>
        <v>0</v>
      </c>
      <c r="M22" s="88"/>
      <c r="N22" s="100">
        <f>SUM(N13:N21)</f>
        <v>70591864.099999994</v>
      </c>
      <c r="O22" s="69"/>
      <c r="P22" s="100">
        <f>SUM(P13:P21)</f>
        <v>1508089456.5500002</v>
      </c>
      <c r="Q22" s="88"/>
      <c r="R22" s="100">
        <f>SUM(R13:R21)</f>
        <v>-2584557.6799999923</v>
      </c>
      <c r="S22" s="88"/>
      <c r="T22" s="100">
        <f>SUM(T13:T21)</f>
        <v>0</v>
      </c>
      <c r="U22" s="88"/>
      <c r="V22" s="100">
        <f>SUM(V13:V21)</f>
        <v>-2584557.6799999862</v>
      </c>
      <c r="W22" s="88"/>
      <c r="X22" s="100">
        <f>SUM(X13:X21)</f>
        <v>2425687528.3299999</v>
      </c>
      <c r="Y22" s="88"/>
      <c r="Z22" s="100">
        <f>SUM(Z13:Z21)</f>
        <v>76294300.530000001</v>
      </c>
      <c r="AA22" s="52"/>
      <c r="AB22" s="100">
        <f>SUM(AB13:AB21)</f>
        <v>2501981828.8600001</v>
      </c>
    </row>
    <row r="23" spans="1:30" ht="11.25" customHeight="1" thickTop="1" x14ac:dyDescent="0.4">
      <c r="A23" s="8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88"/>
      <c r="Y23" s="80"/>
      <c r="Z23" s="80"/>
      <c r="AA23" s="52"/>
      <c r="AB23" s="52"/>
    </row>
    <row r="24" spans="1:30" x14ac:dyDescent="0.4">
      <c r="A24" s="15" t="s">
        <v>221</v>
      </c>
      <c r="B24" s="34"/>
      <c r="C24" s="34"/>
      <c r="D24" s="88">
        <v>704700608.25</v>
      </c>
      <c r="E24" s="88"/>
      <c r="F24" s="88">
        <v>144890157.11000001</v>
      </c>
      <c r="G24" s="88"/>
      <c r="H24" s="88">
        <v>0</v>
      </c>
      <c r="I24" s="88"/>
      <c r="J24" s="88">
        <v>0</v>
      </c>
      <c r="K24" s="88"/>
      <c r="L24" s="88">
        <v>0</v>
      </c>
      <c r="M24" s="88"/>
      <c r="N24" s="88">
        <v>70591864.099999994</v>
      </c>
      <c r="O24" s="88"/>
      <c r="P24" s="88">
        <v>1508089456.55</v>
      </c>
      <c r="Q24" s="88"/>
      <c r="R24" s="88">
        <v>-2584557.6800000002</v>
      </c>
      <c r="S24" s="88"/>
      <c r="T24" s="88">
        <v>0</v>
      </c>
      <c r="U24" s="88"/>
      <c r="V24" s="88">
        <f>+T24+R24</f>
        <v>-2584557.6800000002</v>
      </c>
      <c r="W24" s="88"/>
      <c r="X24" s="88">
        <f>SUM(D24:P24)+V24</f>
        <v>2425687528.3300004</v>
      </c>
      <c r="Y24" s="88"/>
      <c r="Z24" s="88">
        <v>76294300.530000001</v>
      </c>
      <c r="AA24" s="80"/>
      <c r="AB24" s="88">
        <f>+X24+Z24</f>
        <v>2501981828.8600006</v>
      </c>
      <c r="AD24" s="82">
        <f>AB24-'งบแสดงฐานะการเงิน Q4_61'!H114</f>
        <v>0</v>
      </c>
    </row>
    <row r="25" spans="1:30" ht="7.5" customHeight="1" x14ac:dyDescent="0.4">
      <c r="A25" s="15"/>
      <c r="B25" s="34"/>
      <c r="C25" s="34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69"/>
      <c r="AB25" s="88"/>
    </row>
    <row r="26" spans="1:30" x14ac:dyDescent="0.4">
      <c r="A26" s="15" t="s">
        <v>130</v>
      </c>
      <c r="B26" s="34"/>
      <c r="C26" s="34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69"/>
      <c r="AB26" s="88"/>
    </row>
    <row r="27" spans="1:30" x14ac:dyDescent="0.4">
      <c r="A27" s="6" t="s">
        <v>164</v>
      </c>
      <c r="B27" s="24">
        <v>20</v>
      </c>
      <c r="C27" s="34"/>
      <c r="D27" s="88">
        <v>0</v>
      </c>
      <c r="E27" s="88"/>
      <c r="F27" s="88">
        <v>0</v>
      </c>
      <c r="G27" s="88"/>
      <c r="H27" s="88">
        <v>0</v>
      </c>
      <c r="I27" s="88"/>
      <c r="J27" s="88"/>
      <c r="K27" s="88"/>
      <c r="L27" s="88"/>
      <c r="M27" s="88"/>
      <c r="N27" s="88">
        <v>0</v>
      </c>
      <c r="O27" s="69"/>
      <c r="P27" s="88">
        <f>-169128145.98-112752097.32-16779672</f>
        <v>-298659915.29999995</v>
      </c>
      <c r="Q27" s="88"/>
      <c r="R27" s="88">
        <v>0</v>
      </c>
      <c r="S27" s="88"/>
      <c r="T27" s="88">
        <v>0</v>
      </c>
      <c r="U27" s="88"/>
      <c r="V27" s="88">
        <f>+T27+R27</f>
        <v>0</v>
      </c>
      <c r="W27" s="88"/>
      <c r="X27" s="88">
        <f>SUM(D27:P27)+V27</f>
        <v>-298659915.29999995</v>
      </c>
      <c r="Y27" s="88"/>
      <c r="Z27" s="88">
        <v>0</v>
      </c>
      <c r="AA27" s="69"/>
      <c r="AB27" s="88">
        <f>+X27+Z27</f>
        <v>-298659915.29999995</v>
      </c>
    </row>
    <row r="28" spans="1:30" x14ac:dyDescent="0.4">
      <c r="A28" s="15" t="s">
        <v>150</v>
      </c>
      <c r="B28" s="24"/>
      <c r="C28" s="34"/>
      <c r="D28" s="88">
        <v>0</v>
      </c>
      <c r="E28" s="88"/>
      <c r="F28" s="88">
        <v>0</v>
      </c>
      <c r="G28" s="88"/>
      <c r="H28" s="88">
        <v>0</v>
      </c>
      <c r="I28" s="88"/>
      <c r="J28" s="88"/>
      <c r="K28" s="88"/>
      <c r="L28" s="88"/>
      <c r="M28" s="88"/>
      <c r="N28" s="88">
        <v>0</v>
      </c>
      <c r="O28" s="88"/>
      <c r="P28" s="88">
        <f>+'งบกำไรขาดทุน Q4_61'!F34</f>
        <v>4564733.2799999975</v>
      </c>
      <c r="Q28" s="88"/>
      <c r="R28" s="88">
        <f>+'งบกำไรขาดทุน Q4_61'!F62</f>
        <v>-20654545.370000001</v>
      </c>
      <c r="S28" s="88"/>
      <c r="T28" s="88">
        <f>-T30</f>
        <v>3461599.2</v>
      </c>
      <c r="U28" s="88"/>
      <c r="V28" s="88">
        <f>+T28+R28</f>
        <v>-17192946.170000002</v>
      </c>
      <c r="W28" s="88"/>
      <c r="X28" s="88">
        <f>SUM(D28:P28)+V28</f>
        <v>-12628212.890000004</v>
      </c>
      <c r="Y28" s="88"/>
      <c r="Z28" s="88">
        <f>+'งบกำไรขาดทุน Q4_61'!F35</f>
        <v>-1353275.73</v>
      </c>
      <c r="AA28" s="88"/>
      <c r="AB28" s="88">
        <f>+X28+Z28</f>
        <v>-13981488.620000005</v>
      </c>
    </row>
    <row r="29" spans="1:30" x14ac:dyDescent="0.4">
      <c r="A29" s="15" t="s">
        <v>201</v>
      </c>
      <c r="B29" s="7"/>
      <c r="D29" s="88"/>
      <c r="E29" s="88"/>
      <c r="F29" s="88"/>
      <c r="G29" s="69"/>
      <c r="H29" s="88"/>
      <c r="I29" s="88"/>
      <c r="J29" s="88"/>
      <c r="K29" s="88"/>
      <c r="L29" s="88"/>
      <c r="M29" s="88"/>
      <c r="N29" s="88"/>
      <c r="O29" s="69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52"/>
      <c r="AB29" s="88"/>
    </row>
    <row r="30" spans="1:30" x14ac:dyDescent="0.4">
      <c r="A30" s="15" t="s">
        <v>202</v>
      </c>
      <c r="B30" s="7"/>
      <c r="D30" s="88">
        <v>0</v>
      </c>
      <c r="E30" s="88"/>
      <c r="F30" s="88">
        <v>0</v>
      </c>
      <c r="G30" s="88"/>
      <c r="H30" s="88">
        <v>0</v>
      </c>
      <c r="I30" s="88"/>
      <c r="J30" s="88"/>
      <c r="K30" s="88"/>
      <c r="L30" s="88"/>
      <c r="M30" s="88"/>
      <c r="N30" s="88">
        <v>0</v>
      </c>
      <c r="O30" s="69"/>
      <c r="P30" s="88">
        <v>3461599.2</v>
      </c>
      <c r="Q30" s="88"/>
      <c r="R30" s="88">
        <v>0</v>
      </c>
      <c r="S30" s="88"/>
      <c r="T30" s="88">
        <f>-P30</f>
        <v>-3461599.2</v>
      </c>
      <c r="U30" s="88"/>
      <c r="V30" s="88">
        <f>+T30+R30</f>
        <v>-3461599.2</v>
      </c>
      <c r="W30" s="88"/>
      <c r="X30" s="88">
        <f>SUM(D30:P30)+V30</f>
        <v>0</v>
      </c>
      <c r="Y30" s="88"/>
      <c r="Z30" s="88">
        <v>0</v>
      </c>
      <c r="AA30" s="69"/>
      <c r="AB30" s="88">
        <f>+X30+Z30</f>
        <v>0</v>
      </c>
    </row>
    <row r="31" spans="1:30" ht="12" customHeight="1" x14ac:dyDescent="0.4">
      <c r="B31" s="7"/>
      <c r="D31" s="90"/>
      <c r="E31" s="88"/>
      <c r="F31" s="90"/>
      <c r="G31" s="80"/>
      <c r="H31" s="90"/>
      <c r="I31" s="88"/>
      <c r="J31" s="88"/>
      <c r="K31" s="88"/>
      <c r="L31" s="88"/>
      <c r="M31" s="88"/>
      <c r="N31" s="90"/>
      <c r="O31" s="102"/>
      <c r="P31" s="90"/>
      <c r="Q31" s="88"/>
      <c r="R31" s="90"/>
      <c r="S31" s="88"/>
      <c r="T31" s="90"/>
      <c r="U31" s="88"/>
      <c r="V31" s="90"/>
      <c r="W31" s="88"/>
      <c r="X31" s="90"/>
      <c r="Y31" s="88"/>
      <c r="Z31" s="90"/>
      <c r="AA31" s="88"/>
      <c r="AB31" s="90"/>
    </row>
    <row r="32" spans="1:30" ht="18.75" thickBot="1" x14ac:dyDescent="0.45">
      <c r="A32" s="15" t="s">
        <v>222</v>
      </c>
      <c r="D32" s="100">
        <f>SUM(D24:D31)</f>
        <v>704700608.25</v>
      </c>
      <c r="E32" s="88"/>
      <c r="F32" s="100">
        <f>SUM(F24:F31)</f>
        <v>144890157.11000001</v>
      </c>
      <c r="G32" s="69"/>
      <c r="H32" s="100">
        <f>SUM(H24:H31)</f>
        <v>0</v>
      </c>
      <c r="I32" s="88"/>
      <c r="J32" s="100">
        <f>SUM(J24:J31)</f>
        <v>0</v>
      </c>
      <c r="K32" s="88"/>
      <c r="L32" s="100">
        <f>SUM(L24:L31)</f>
        <v>0</v>
      </c>
      <c r="M32" s="88"/>
      <c r="N32" s="100">
        <f>SUM(N24:N31)</f>
        <v>70591864.099999994</v>
      </c>
      <c r="O32" s="69"/>
      <c r="P32" s="100">
        <f>SUM(P24:P31)</f>
        <v>1217455873.73</v>
      </c>
      <c r="Q32" s="88"/>
      <c r="R32" s="100">
        <f>SUM(R24:R31)</f>
        <v>-23239103.050000001</v>
      </c>
      <c r="S32" s="88"/>
      <c r="T32" s="100">
        <f>SUM(T24:T31)</f>
        <v>0</v>
      </c>
      <c r="U32" s="88"/>
      <c r="V32" s="100">
        <f>SUM(V24:V31)</f>
        <v>-23239103.050000001</v>
      </c>
      <c r="W32" s="88"/>
      <c r="X32" s="100">
        <f>SUM(X24:X31)</f>
        <v>2114399400.1400003</v>
      </c>
      <c r="Y32" s="88"/>
      <c r="Z32" s="100">
        <f>SUM(Z24:Z31)</f>
        <v>74941024.799999997</v>
      </c>
      <c r="AA32" s="52"/>
      <c r="AB32" s="100">
        <f>SUM(AB24:AB31)</f>
        <v>2189340424.9400005</v>
      </c>
      <c r="AD32" s="82">
        <f>AB32-'งบแสดงฐานะการเงิน Q4_61'!F114</f>
        <v>0</v>
      </c>
    </row>
    <row r="33" spans="1:39" ht="8.25" customHeight="1" thickTop="1" x14ac:dyDescent="0.4"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88"/>
      <c r="Y33" s="52"/>
      <c r="Z33" s="52"/>
      <c r="AA33" s="52"/>
      <c r="AB33" s="52"/>
    </row>
    <row r="34" spans="1:39" x14ac:dyDescent="0.4">
      <c r="A34" s="6" t="s">
        <v>146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69"/>
      <c r="AA34" s="52"/>
      <c r="AB34" s="52"/>
    </row>
    <row r="35" spans="1:39" x14ac:dyDescent="0.4"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</row>
    <row r="36" spans="1:39" x14ac:dyDescent="0.4">
      <c r="Z36" s="11"/>
      <c r="AB36" s="46"/>
    </row>
    <row r="37" spans="1:39" s="2" customFormat="1" x14ac:dyDescent="0.4">
      <c r="A37" s="21" t="s">
        <v>21</v>
      </c>
      <c r="C37" s="7"/>
      <c r="D37" s="21"/>
      <c r="E37" s="7"/>
      <c r="F37" s="7"/>
      <c r="G37" s="7"/>
      <c r="H37" s="21" t="s">
        <v>21</v>
      </c>
      <c r="I37" s="21"/>
      <c r="J37" s="21"/>
      <c r="K37" s="21"/>
      <c r="L37" s="21"/>
      <c r="M37" s="21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1"/>
      <c r="AC37" s="1"/>
      <c r="AD37" s="3"/>
      <c r="AE37" s="1"/>
      <c r="AF37" s="1"/>
      <c r="AG37" s="1"/>
      <c r="AH37" s="1"/>
      <c r="AI37" s="1"/>
      <c r="AJ37" s="1"/>
      <c r="AK37" s="1"/>
      <c r="AL37" s="1"/>
      <c r="AM37" s="1"/>
    </row>
    <row r="38" spans="1:39" s="2" customFormat="1" ht="27" customHeight="1" x14ac:dyDescent="0.4">
      <c r="A38" s="130"/>
      <c r="B38" s="13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7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1"/>
      <c r="AC38" s="1"/>
      <c r="AD38" s="3"/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7.25" customHeight="1" x14ac:dyDescent="0.4">
      <c r="A39" s="22"/>
    </row>
  </sheetData>
  <mergeCells count="9">
    <mergeCell ref="Z1:AB1"/>
    <mergeCell ref="A38:B38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" header="0.31496062992126" footer="0"/>
  <pageSetup paperSize="9" scale="80" orientation="landscape" horizontalDpi="1200" verticalDpi="1200" r:id="rId1"/>
  <headerFooter alignWithMargins="0">
    <oddHeader>&amp;L&amp;"Angsana New,Regular"&amp;12สำนักงาน &amp;14เอ. เอ็ม. ที.&amp;12 แอสโซซิเอท</oddHeader>
    <oddFooter>&amp;C4</oddFooter>
  </headerFooter>
  <colBreaks count="1" manualBreakCount="1">
    <brk id="28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0"/>
  <sheetViews>
    <sheetView view="pageBreakPreview" zoomScale="80" zoomScaleNormal="100" zoomScaleSheetLayoutView="80" workbookViewId="0">
      <selection activeCell="R29" sqref="R29:T31"/>
    </sheetView>
  </sheetViews>
  <sheetFormatPr defaultRowHeight="18" x14ac:dyDescent="0.4"/>
  <cols>
    <col min="1" max="1" width="39.28515625" style="6" customWidth="1"/>
    <col min="2" max="2" width="6.5703125" style="6" customWidth="1"/>
    <col min="3" max="3" width="1.42578125" style="6" customWidth="1"/>
    <col min="4" max="4" width="11.85546875" style="6" customWidth="1"/>
    <col min="5" max="5" width="1.140625" style="6" customWidth="1"/>
    <col min="6" max="6" width="12.7109375" style="6" customWidth="1"/>
    <col min="7" max="7" width="1.42578125" style="6" customWidth="1"/>
    <col min="8" max="8" width="11.85546875" style="6" hidden="1" customWidth="1"/>
    <col min="9" max="9" width="1.42578125" style="6" hidden="1" customWidth="1"/>
    <col min="10" max="10" width="12.42578125" style="6" hidden="1" customWidth="1"/>
    <col min="11" max="11" width="1.42578125" style="6" hidden="1" customWidth="1"/>
    <col min="12" max="12" width="11.85546875" style="6" hidden="1" customWidth="1"/>
    <col min="13" max="13" width="1.42578125" style="6" hidden="1" customWidth="1"/>
    <col min="14" max="14" width="11.85546875" style="6" hidden="1" customWidth="1"/>
    <col min="15" max="15" width="1.42578125" style="6" hidden="1" customWidth="1"/>
    <col min="16" max="16" width="12.85546875" style="6" customWidth="1"/>
    <col min="17" max="17" width="1.42578125" style="6" customWidth="1"/>
    <col min="18" max="18" width="12.42578125" style="6" customWidth="1"/>
    <col min="19" max="19" width="1.5703125" style="6" customWidth="1"/>
    <col min="20" max="20" width="15.7109375" style="6" customWidth="1"/>
    <col min="21" max="21" width="1.42578125" style="6" customWidth="1"/>
    <col min="22" max="22" width="14.5703125" style="6" customWidth="1"/>
    <col min="23" max="23" width="11.85546875" style="6" bestFit="1" customWidth="1"/>
    <col min="24" max="24" width="10.5703125" style="6" bestFit="1" customWidth="1"/>
    <col min="25" max="16384" width="9.140625" style="6"/>
  </cols>
  <sheetData>
    <row r="1" spans="1:23" ht="13.5" customHeight="1" x14ac:dyDescent="0.4">
      <c r="R1" s="135"/>
      <c r="S1" s="135"/>
      <c r="T1" s="135"/>
      <c r="U1" s="135"/>
      <c r="V1" s="135"/>
    </row>
    <row r="2" spans="1:23" x14ac:dyDescent="0.4">
      <c r="A2" s="131" t="s">
        <v>52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44"/>
    </row>
    <row r="3" spans="1:23" x14ac:dyDescent="0.4">
      <c r="A3" s="132" t="s">
        <v>129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</row>
    <row r="4" spans="1:23" s="50" customFormat="1" x14ac:dyDescent="0.4">
      <c r="A4" s="132" t="s">
        <v>35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</row>
    <row r="5" spans="1:23" x14ac:dyDescent="0.4">
      <c r="A5" s="132" t="s">
        <v>218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</row>
    <row r="6" spans="1:23" ht="8.25" customHeight="1" x14ac:dyDescent="0.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3" x14ac:dyDescent="0.4">
      <c r="D7" s="138" t="s">
        <v>13</v>
      </c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</row>
    <row r="8" spans="1:23" x14ac:dyDescent="0.4">
      <c r="D8" s="11"/>
      <c r="E8" s="11"/>
      <c r="F8" s="11"/>
      <c r="G8" s="11"/>
      <c r="H8" s="11"/>
      <c r="I8" s="11"/>
      <c r="J8" s="60" t="s">
        <v>71</v>
      </c>
      <c r="K8" s="29"/>
      <c r="L8" s="29" t="s">
        <v>66</v>
      </c>
      <c r="M8" s="29"/>
      <c r="N8" s="29" t="s">
        <v>57</v>
      </c>
      <c r="O8" s="11"/>
      <c r="P8" s="139"/>
      <c r="Q8" s="139"/>
      <c r="R8" s="139"/>
      <c r="S8" s="30"/>
      <c r="T8" s="111" t="s">
        <v>117</v>
      </c>
      <c r="U8" s="30"/>
    </row>
    <row r="9" spans="1:23" x14ac:dyDescent="0.4">
      <c r="D9" s="11"/>
      <c r="E9" s="11"/>
      <c r="F9" s="11"/>
      <c r="G9" s="11"/>
      <c r="H9" s="11"/>
      <c r="I9" s="11"/>
      <c r="J9" s="60"/>
      <c r="K9" s="29"/>
      <c r="L9" s="29"/>
      <c r="M9" s="29"/>
      <c r="N9" s="29"/>
      <c r="O9" s="11"/>
      <c r="P9" s="133" t="s">
        <v>65</v>
      </c>
      <c r="Q9" s="133"/>
      <c r="R9" s="133"/>
      <c r="S9" s="30"/>
      <c r="T9" s="48" t="s">
        <v>171</v>
      </c>
      <c r="U9" s="30"/>
    </row>
    <row r="10" spans="1:23" x14ac:dyDescent="0.4">
      <c r="D10" s="11"/>
      <c r="E10" s="11"/>
      <c r="F10" s="29" t="s">
        <v>185</v>
      </c>
      <c r="G10" s="11"/>
      <c r="H10" s="29"/>
      <c r="I10" s="11"/>
      <c r="J10" s="60"/>
      <c r="K10" s="29"/>
      <c r="L10" s="29"/>
      <c r="M10" s="29"/>
      <c r="N10" s="29"/>
      <c r="O10" s="11"/>
      <c r="P10" s="30"/>
      <c r="Q10" s="30"/>
      <c r="R10" s="30"/>
      <c r="S10" s="30"/>
      <c r="T10" s="111" t="s">
        <v>168</v>
      </c>
      <c r="U10" s="30"/>
    </row>
    <row r="11" spans="1:23" x14ac:dyDescent="0.4">
      <c r="D11" s="31" t="s">
        <v>22</v>
      </c>
      <c r="E11" s="31"/>
      <c r="F11" s="29" t="s">
        <v>186</v>
      </c>
      <c r="G11" s="11"/>
      <c r="H11" s="29" t="s">
        <v>66</v>
      </c>
      <c r="I11" s="29"/>
      <c r="J11" s="61" t="s">
        <v>72</v>
      </c>
      <c r="K11" s="29"/>
      <c r="L11" s="29" t="s">
        <v>67</v>
      </c>
      <c r="M11" s="29"/>
      <c r="N11" s="29" t="s">
        <v>58</v>
      </c>
      <c r="O11" s="11"/>
      <c r="P11" s="23" t="s">
        <v>23</v>
      </c>
      <c r="Q11" s="38"/>
      <c r="R11" s="23" t="s">
        <v>3</v>
      </c>
      <c r="S11" s="23"/>
      <c r="T11" s="109" t="s">
        <v>169</v>
      </c>
      <c r="U11" s="23"/>
    </row>
    <row r="12" spans="1:23" x14ac:dyDescent="0.4">
      <c r="B12" s="39" t="s">
        <v>40</v>
      </c>
      <c r="D12" s="40" t="s">
        <v>24</v>
      </c>
      <c r="E12" s="33"/>
      <c r="F12" s="37" t="s">
        <v>25</v>
      </c>
      <c r="G12" s="11"/>
      <c r="H12" s="37" t="s">
        <v>67</v>
      </c>
      <c r="I12" s="32"/>
      <c r="J12" s="62" t="s">
        <v>73</v>
      </c>
      <c r="K12" s="32"/>
      <c r="L12" s="37"/>
      <c r="M12" s="32"/>
      <c r="N12" s="37" t="s">
        <v>59</v>
      </c>
      <c r="O12" s="11"/>
      <c r="P12" s="41" t="s">
        <v>20</v>
      </c>
      <c r="Q12" s="38"/>
      <c r="R12" s="41"/>
      <c r="S12" s="30"/>
      <c r="T12" s="110" t="s">
        <v>170</v>
      </c>
      <c r="U12" s="30"/>
      <c r="V12" s="39" t="s">
        <v>28</v>
      </c>
    </row>
    <row r="13" spans="1:23" x14ac:dyDescent="0.4">
      <c r="C13" s="32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30"/>
      <c r="Q13" s="32"/>
      <c r="R13" s="45"/>
      <c r="S13" s="45"/>
      <c r="T13" s="45"/>
      <c r="U13" s="33"/>
      <c r="V13" s="45"/>
    </row>
    <row r="14" spans="1:23" x14ac:dyDescent="0.4">
      <c r="A14" s="15" t="s">
        <v>192</v>
      </c>
      <c r="B14" s="24"/>
      <c r="C14" s="34"/>
      <c r="D14" s="88">
        <v>704700608.25</v>
      </c>
      <c r="E14" s="88"/>
      <c r="F14" s="88">
        <v>144890157.11000001</v>
      </c>
      <c r="G14" s="88"/>
      <c r="H14" s="88">
        <v>0</v>
      </c>
      <c r="I14" s="88"/>
      <c r="J14" s="69"/>
      <c r="K14" s="88"/>
      <c r="L14" s="88"/>
      <c r="M14" s="88"/>
      <c r="N14" s="88"/>
      <c r="O14" s="88"/>
      <c r="P14" s="88">
        <v>70591864.099999994</v>
      </c>
      <c r="Q14" s="88"/>
      <c r="R14" s="88">
        <v>690823962.70000005</v>
      </c>
      <c r="S14" s="88"/>
      <c r="T14" s="88">
        <v>0</v>
      </c>
      <c r="U14" s="88"/>
      <c r="V14" s="88">
        <f>SUM(D14:U14)</f>
        <v>1611006592.1600001</v>
      </c>
    </row>
    <row r="15" spans="1:23" ht="6" customHeight="1" x14ac:dyDescent="0.4">
      <c r="A15" s="15"/>
      <c r="B15" s="34"/>
      <c r="C15" s="34"/>
      <c r="D15" s="88"/>
      <c r="E15" s="88"/>
      <c r="F15" s="88"/>
      <c r="G15" s="88"/>
      <c r="H15" s="88"/>
      <c r="I15" s="88"/>
      <c r="J15" s="69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11"/>
    </row>
    <row r="16" spans="1:23" x14ac:dyDescent="0.4">
      <c r="A16" s="15" t="s">
        <v>130</v>
      </c>
      <c r="B16" s="34"/>
      <c r="C16" s="34"/>
      <c r="D16" s="88"/>
      <c r="E16" s="88"/>
      <c r="F16" s="88"/>
      <c r="G16" s="88"/>
      <c r="H16" s="88"/>
      <c r="I16" s="88"/>
      <c r="J16" s="69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</row>
    <row r="17" spans="1:23" x14ac:dyDescent="0.4">
      <c r="A17" s="6" t="s">
        <v>155</v>
      </c>
      <c r="B17" s="24">
        <v>20</v>
      </c>
      <c r="C17" s="34"/>
      <c r="D17" s="88">
        <v>0</v>
      </c>
      <c r="E17" s="88"/>
      <c r="F17" s="88">
        <v>0</v>
      </c>
      <c r="G17" s="88"/>
      <c r="H17" s="88">
        <v>0</v>
      </c>
      <c r="I17" s="88"/>
      <c r="J17" s="88">
        <v>0</v>
      </c>
      <c r="K17" s="88"/>
      <c r="L17" s="88">
        <v>0</v>
      </c>
      <c r="M17" s="88"/>
      <c r="N17" s="88">
        <v>0</v>
      </c>
      <c r="O17" s="88"/>
      <c r="P17" s="88">
        <v>0</v>
      </c>
      <c r="Q17" s="88"/>
      <c r="R17" s="88">
        <v>-338256291.95999998</v>
      </c>
      <c r="S17" s="88"/>
      <c r="T17" s="88">
        <v>0</v>
      </c>
      <c r="U17" s="88"/>
      <c r="V17" s="88">
        <f>SUM(D17:U17)</f>
        <v>-338256291.95999998</v>
      </c>
    </row>
    <row r="18" spans="1:23" hidden="1" x14ac:dyDescent="0.4">
      <c r="A18" s="6" t="s">
        <v>135</v>
      </c>
      <c r="B18" s="34"/>
      <c r="C18" s="34"/>
      <c r="D18" s="88">
        <v>0</v>
      </c>
      <c r="E18" s="88"/>
      <c r="F18" s="88">
        <v>0</v>
      </c>
      <c r="G18" s="88"/>
      <c r="H18" s="88">
        <v>0</v>
      </c>
      <c r="I18" s="88"/>
      <c r="J18" s="88"/>
      <c r="K18" s="88"/>
      <c r="L18" s="88"/>
      <c r="M18" s="88"/>
      <c r="N18" s="88"/>
      <c r="O18" s="88"/>
      <c r="P18" s="88">
        <v>0</v>
      </c>
      <c r="Q18" s="88"/>
      <c r="R18" s="88">
        <f>-P18</f>
        <v>0</v>
      </c>
      <c r="S18" s="88"/>
      <c r="T18" s="88">
        <v>0</v>
      </c>
      <c r="U18" s="88"/>
      <c r="V18" s="88">
        <f>SUM(D18:U18)</f>
        <v>0</v>
      </c>
    </row>
    <row r="19" spans="1:23" x14ac:dyDescent="0.4">
      <c r="A19" s="15" t="s">
        <v>150</v>
      </c>
      <c r="B19" s="34"/>
      <c r="C19" s="34"/>
      <c r="D19" s="88">
        <v>0</v>
      </c>
      <c r="E19" s="88"/>
      <c r="F19" s="88">
        <v>0</v>
      </c>
      <c r="G19" s="88"/>
      <c r="H19" s="88">
        <v>0</v>
      </c>
      <c r="I19" s="88"/>
      <c r="J19" s="88"/>
      <c r="K19" s="88"/>
      <c r="L19" s="88"/>
      <c r="M19" s="88"/>
      <c r="N19" s="88"/>
      <c r="O19" s="88"/>
      <c r="P19" s="88">
        <v>0</v>
      </c>
      <c r="Q19" s="88"/>
      <c r="R19" s="88">
        <f>+'งบกำไรขาดทุน Q4_61'!L34</f>
        <v>71469669.329999983</v>
      </c>
      <c r="S19" s="88"/>
      <c r="T19" s="88">
        <f>-T21</f>
        <v>-1937579.2</v>
      </c>
      <c r="U19" s="88"/>
      <c r="V19" s="88">
        <f>SUM(D19:U19)</f>
        <v>69532090.12999998</v>
      </c>
    </row>
    <row r="20" spans="1:23" x14ac:dyDescent="0.4">
      <c r="A20" s="15" t="s">
        <v>201</v>
      </c>
      <c r="B20" s="34"/>
      <c r="C20" s="34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</row>
    <row r="21" spans="1:23" x14ac:dyDescent="0.4">
      <c r="A21" s="15" t="s">
        <v>202</v>
      </c>
      <c r="B21" s="34"/>
      <c r="C21" s="34"/>
      <c r="D21" s="88">
        <v>0</v>
      </c>
      <c r="E21" s="88"/>
      <c r="F21" s="88">
        <v>0</v>
      </c>
      <c r="G21" s="88"/>
      <c r="H21" s="88">
        <v>0</v>
      </c>
      <c r="I21" s="88"/>
      <c r="J21" s="88">
        <v>0</v>
      </c>
      <c r="K21" s="88"/>
      <c r="L21" s="88">
        <v>0</v>
      </c>
      <c r="M21" s="88"/>
      <c r="N21" s="88">
        <v>0</v>
      </c>
      <c r="O21" s="88"/>
      <c r="P21" s="88">
        <v>0</v>
      </c>
      <c r="Q21" s="88"/>
      <c r="R21" s="88">
        <v>-1937579.2</v>
      </c>
      <c r="S21" s="88"/>
      <c r="T21" s="88">
        <f>-R21</f>
        <v>1937579.2</v>
      </c>
      <c r="U21" s="88"/>
      <c r="V21" s="88">
        <f>SUM(D21:U21)</f>
        <v>0</v>
      </c>
    </row>
    <row r="22" spans="1:23" ht="9.75" customHeight="1" x14ac:dyDescent="0.4">
      <c r="B22" s="34"/>
      <c r="C22" s="34"/>
      <c r="D22" s="90"/>
      <c r="E22" s="88"/>
      <c r="F22" s="90"/>
      <c r="G22" s="88"/>
      <c r="H22" s="90"/>
      <c r="I22" s="88"/>
      <c r="J22" s="88"/>
      <c r="K22" s="88"/>
      <c r="L22" s="88"/>
      <c r="M22" s="88"/>
      <c r="N22" s="88"/>
      <c r="O22" s="88"/>
      <c r="P22" s="90"/>
      <c r="Q22" s="88"/>
      <c r="R22" s="90"/>
      <c r="S22" s="88"/>
      <c r="T22" s="90"/>
      <c r="U22" s="88"/>
      <c r="V22" s="90"/>
    </row>
    <row r="23" spans="1:23" ht="18.75" thickBot="1" x14ac:dyDescent="0.45">
      <c r="A23" s="15" t="s">
        <v>193</v>
      </c>
      <c r="B23" s="34"/>
      <c r="C23" s="34"/>
      <c r="D23" s="100">
        <f>SUM(D14:D22)</f>
        <v>704700608.25</v>
      </c>
      <c r="E23" s="88"/>
      <c r="F23" s="100">
        <f>SUM(F14:F22)</f>
        <v>144890157.11000001</v>
      </c>
      <c r="G23" s="88"/>
      <c r="H23" s="100">
        <f>SUM(H14:H22)</f>
        <v>0</v>
      </c>
      <c r="I23" s="88"/>
      <c r="J23" s="88"/>
      <c r="K23" s="88"/>
      <c r="L23" s="88"/>
      <c r="M23" s="88"/>
      <c r="N23" s="88"/>
      <c r="O23" s="88"/>
      <c r="P23" s="100">
        <f>SUM(P14:P22)</f>
        <v>70591864.099999994</v>
      </c>
      <c r="Q23" s="88"/>
      <c r="R23" s="100">
        <f>SUM(R14:R22)</f>
        <v>422099760.87000006</v>
      </c>
      <c r="S23" s="88"/>
      <c r="T23" s="100">
        <f>SUM(T14:T22)</f>
        <v>0</v>
      </c>
      <c r="U23" s="88"/>
      <c r="V23" s="100">
        <f>SUM(V14:V22)</f>
        <v>1342282390.3299999</v>
      </c>
      <c r="W23" s="52">
        <f>V23-'งบแสดงฐานะการเงิน Q4_61'!L114</f>
        <v>0</v>
      </c>
    </row>
    <row r="24" spans="1:23" ht="18.75" thickTop="1" x14ac:dyDescent="0.4">
      <c r="B24" s="7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69"/>
      <c r="U24" s="52"/>
      <c r="V24" s="52"/>
      <c r="W24" s="51"/>
    </row>
    <row r="25" spans="1:23" x14ac:dyDescent="0.4">
      <c r="A25" s="15" t="s">
        <v>221</v>
      </c>
      <c r="B25" s="24"/>
      <c r="C25" s="34"/>
      <c r="D25" s="88">
        <v>704700608.25</v>
      </c>
      <c r="E25" s="88"/>
      <c r="F25" s="88">
        <v>144890157.11000001</v>
      </c>
      <c r="G25" s="88"/>
      <c r="H25" s="88">
        <v>0</v>
      </c>
      <c r="I25" s="88"/>
      <c r="J25" s="69"/>
      <c r="K25" s="88"/>
      <c r="L25" s="88"/>
      <c r="M25" s="88"/>
      <c r="N25" s="88"/>
      <c r="O25" s="88"/>
      <c r="P25" s="88">
        <v>70591864.099999994</v>
      </c>
      <c r="Q25" s="88"/>
      <c r="R25" s="88">
        <v>422099760.87</v>
      </c>
      <c r="S25" s="88"/>
      <c r="T25" s="88">
        <v>0</v>
      </c>
      <c r="U25" s="88"/>
      <c r="V25" s="88">
        <f>SUM(D25:U25)</f>
        <v>1342282390.3299999</v>
      </c>
      <c r="W25" s="11">
        <f>V25-'งบแสดงฐานะการเงิน Q4_61'!L114</f>
        <v>0</v>
      </c>
    </row>
    <row r="26" spans="1:23" ht="6" customHeight="1" x14ac:dyDescent="0.4">
      <c r="A26" s="15"/>
      <c r="B26" s="34"/>
      <c r="C26" s="34"/>
      <c r="D26" s="88"/>
      <c r="E26" s="88"/>
      <c r="F26" s="88"/>
      <c r="G26" s="88"/>
      <c r="H26" s="88"/>
      <c r="I26" s="88"/>
      <c r="J26" s="69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11"/>
    </row>
    <row r="27" spans="1:23" x14ac:dyDescent="0.4">
      <c r="A27" s="15" t="s">
        <v>130</v>
      </c>
      <c r="B27" s="34"/>
      <c r="C27" s="34"/>
      <c r="D27" s="88"/>
      <c r="E27" s="88"/>
      <c r="F27" s="88"/>
      <c r="G27" s="88"/>
      <c r="H27" s="88"/>
      <c r="I27" s="88"/>
      <c r="J27" s="69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</row>
    <row r="28" spans="1:23" x14ac:dyDescent="0.4">
      <c r="A28" s="6" t="s">
        <v>114</v>
      </c>
      <c r="B28" s="24">
        <v>20</v>
      </c>
      <c r="C28" s="34"/>
      <c r="D28" s="88">
        <v>0</v>
      </c>
      <c r="E28" s="88"/>
      <c r="F28" s="88">
        <v>0</v>
      </c>
      <c r="G28" s="88"/>
      <c r="H28" s="88">
        <v>0</v>
      </c>
      <c r="I28" s="88"/>
      <c r="J28" s="88">
        <v>0</v>
      </c>
      <c r="K28" s="88"/>
      <c r="L28" s="88">
        <v>0</v>
      </c>
      <c r="M28" s="88"/>
      <c r="N28" s="88">
        <v>0</v>
      </c>
      <c r="O28" s="88"/>
      <c r="P28" s="88">
        <v>0</v>
      </c>
      <c r="Q28" s="88"/>
      <c r="R28" s="88">
        <f>-169128145.98-112752097.32</f>
        <v>-281880243.29999995</v>
      </c>
      <c r="S28" s="88"/>
      <c r="T28" s="88">
        <v>0</v>
      </c>
      <c r="U28" s="88"/>
      <c r="V28" s="88">
        <f>SUM(D28:U28)</f>
        <v>-281880243.29999995</v>
      </c>
    </row>
    <row r="29" spans="1:23" x14ac:dyDescent="0.4">
      <c r="A29" s="15" t="s">
        <v>150</v>
      </c>
      <c r="B29" s="34"/>
      <c r="C29" s="34"/>
      <c r="D29" s="88">
        <v>0</v>
      </c>
      <c r="E29" s="88"/>
      <c r="F29" s="88">
        <v>0</v>
      </c>
      <c r="G29" s="88"/>
      <c r="H29" s="88">
        <v>0</v>
      </c>
      <c r="I29" s="88"/>
      <c r="J29" s="88"/>
      <c r="K29" s="88"/>
      <c r="L29" s="88"/>
      <c r="M29" s="88"/>
      <c r="N29" s="88"/>
      <c r="O29" s="88"/>
      <c r="P29" s="88">
        <v>0</v>
      </c>
      <c r="Q29" s="88"/>
      <c r="R29" s="88">
        <f>+'งบกำไรขาดทุน Q4_61'!J34</f>
        <v>561094037.83999991</v>
      </c>
      <c r="S29" s="88"/>
      <c r="T29" s="88">
        <f>-T31</f>
        <v>2985208.8</v>
      </c>
      <c r="U29" s="88"/>
      <c r="V29" s="88">
        <f>SUM(D29:U29)</f>
        <v>564079246.63999987</v>
      </c>
    </row>
    <row r="30" spans="1:23" x14ac:dyDescent="0.4">
      <c r="A30" s="15" t="s">
        <v>201</v>
      </c>
      <c r="B30" s="34"/>
      <c r="C30" s="34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</row>
    <row r="31" spans="1:23" x14ac:dyDescent="0.4">
      <c r="A31" s="15" t="s">
        <v>202</v>
      </c>
      <c r="B31" s="34"/>
      <c r="C31" s="34"/>
      <c r="D31" s="88">
        <v>0</v>
      </c>
      <c r="E31" s="88"/>
      <c r="F31" s="88">
        <v>0</v>
      </c>
      <c r="G31" s="88"/>
      <c r="H31" s="88">
        <v>0</v>
      </c>
      <c r="I31" s="88"/>
      <c r="J31" s="88">
        <v>0</v>
      </c>
      <c r="K31" s="88"/>
      <c r="L31" s="88">
        <v>0</v>
      </c>
      <c r="M31" s="88"/>
      <c r="N31" s="88">
        <v>0</v>
      </c>
      <c r="O31" s="88"/>
      <c r="P31" s="88">
        <v>0</v>
      </c>
      <c r="Q31" s="88"/>
      <c r="R31" s="88">
        <v>2985208.8</v>
      </c>
      <c r="S31" s="88"/>
      <c r="T31" s="88">
        <f>-R31</f>
        <v>-2985208.8</v>
      </c>
      <c r="U31" s="88"/>
      <c r="V31" s="88">
        <f>SUM(D31:U31)</f>
        <v>0</v>
      </c>
    </row>
    <row r="32" spans="1:23" ht="9.75" customHeight="1" x14ac:dyDescent="0.4">
      <c r="B32" s="34"/>
      <c r="C32" s="34"/>
      <c r="D32" s="90"/>
      <c r="E32" s="88"/>
      <c r="F32" s="90"/>
      <c r="G32" s="88"/>
      <c r="H32" s="90"/>
      <c r="I32" s="88"/>
      <c r="J32" s="88"/>
      <c r="K32" s="88"/>
      <c r="L32" s="88"/>
      <c r="M32" s="88"/>
      <c r="N32" s="88"/>
      <c r="O32" s="88"/>
      <c r="P32" s="90"/>
      <c r="Q32" s="88"/>
      <c r="R32" s="90"/>
      <c r="S32" s="88"/>
      <c r="T32" s="90"/>
      <c r="U32" s="88"/>
      <c r="V32" s="90"/>
    </row>
    <row r="33" spans="1:35" ht="18.75" thickBot="1" x14ac:dyDescent="0.45">
      <c r="A33" s="15" t="s">
        <v>222</v>
      </c>
      <c r="B33" s="34"/>
      <c r="C33" s="34"/>
      <c r="D33" s="100">
        <f>SUM(D25:D32)</f>
        <v>704700608.25</v>
      </c>
      <c r="E33" s="88"/>
      <c r="F33" s="100">
        <f>SUM(F25:F32)</f>
        <v>144890157.11000001</v>
      </c>
      <c r="G33" s="88"/>
      <c r="H33" s="100">
        <f>SUM(H25:H32)</f>
        <v>0</v>
      </c>
      <c r="I33" s="88"/>
      <c r="J33" s="88"/>
      <c r="K33" s="88"/>
      <c r="L33" s="88"/>
      <c r="M33" s="88"/>
      <c r="N33" s="88"/>
      <c r="O33" s="88"/>
      <c r="P33" s="100">
        <f>SUM(P25:P32)</f>
        <v>70591864.099999994</v>
      </c>
      <c r="Q33" s="88"/>
      <c r="R33" s="100">
        <f>SUM(R25:R32)</f>
        <v>704298764.20999992</v>
      </c>
      <c r="S33" s="88"/>
      <c r="T33" s="100">
        <f>SUM(T25:T32)</f>
        <v>0</v>
      </c>
      <c r="U33" s="88"/>
      <c r="V33" s="100">
        <f>SUM(V25:V32)</f>
        <v>1624481393.6699998</v>
      </c>
      <c r="W33" s="52">
        <f>V33-'งบแสดงฐานะการเงิน Q4_61'!J114</f>
        <v>0</v>
      </c>
    </row>
    <row r="34" spans="1:35" ht="7.5" customHeight="1" thickTop="1" x14ac:dyDescent="0.4">
      <c r="B34" s="34"/>
      <c r="C34" s="34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</row>
    <row r="35" spans="1:35" x14ac:dyDescent="0.4">
      <c r="A35" s="6" t="s">
        <v>146</v>
      </c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</row>
    <row r="38" spans="1:35" s="2" customFormat="1" x14ac:dyDescent="0.4">
      <c r="A38" s="21" t="s">
        <v>21</v>
      </c>
      <c r="C38" s="7"/>
      <c r="D38" s="21"/>
      <c r="E38" s="7"/>
      <c r="F38" s="7"/>
      <c r="G38" s="7"/>
      <c r="H38" s="21" t="s">
        <v>21</v>
      </c>
      <c r="I38" s="21"/>
      <c r="J38" s="21"/>
      <c r="K38" s="21"/>
      <c r="L38" s="21"/>
      <c r="M38" s="21"/>
      <c r="N38" s="21"/>
      <c r="O38" s="7"/>
      <c r="P38" s="7"/>
      <c r="Q38" s="7"/>
      <c r="R38" s="7"/>
      <c r="S38" s="7"/>
      <c r="T38" s="7"/>
      <c r="U38" s="7"/>
      <c r="V38" s="7"/>
      <c r="W38" s="7"/>
      <c r="X38" s="1"/>
      <c r="Y38" s="1"/>
      <c r="Z38" s="3"/>
      <c r="AA38" s="1"/>
      <c r="AB38" s="1"/>
      <c r="AC38" s="1"/>
      <c r="AD38" s="1"/>
      <c r="AE38" s="1"/>
      <c r="AF38" s="1"/>
      <c r="AG38" s="1"/>
      <c r="AH38" s="1"/>
      <c r="AI38" s="1"/>
    </row>
    <row r="39" spans="1:35" s="2" customFormat="1" ht="25.5" customHeight="1" x14ac:dyDescent="0.4">
      <c r="A39" s="130"/>
      <c r="B39" s="130"/>
      <c r="D39" s="21"/>
      <c r="E39" s="21"/>
      <c r="F39" s="21"/>
      <c r="G39" s="21"/>
      <c r="H39" s="7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1"/>
      <c r="Y39" s="1"/>
      <c r="Z39" s="3"/>
      <c r="AA39" s="1"/>
      <c r="AB39" s="1"/>
      <c r="AC39" s="1"/>
      <c r="AD39" s="1"/>
      <c r="AE39" s="1"/>
      <c r="AF39" s="1"/>
      <c r="AG39" s="1"/>
      <c r="AH39" s="1"/>
      <c r="AI39" s="1"/>
    </row>
    <row r="40" spans="1:35" x14ac:dyDescent="0.4">
      <c r="A40" s="22"/>
    </row>
  </sheetData>
  <mergeCells count="9">
    <mergeCell ref="R1:V1"/>
    <mergeCell ref="A39:B39"/>
    <mergeCell ref="D7:V7"/>
    <mergeCell ref="A2:V2"/>
    <mergeCell ref="A3:V3"/>
    <mergeCell ref="A4:V4"/>
    <mergeCell ref="A5:V5"/>
    <mergeCell ref="P8:R8"/>
    <mergeCell ref="P9:R9"/>
  </mergeCells>
  <phoneticPr fontId="0" type="noConversion"/>
  <printOptions horizontalCentered="1"/>
  <pageMargins left="0.70866141732283505" right="0.59055118110236204" top="0.511811023622047" bottom="0" header="0.35433070866141703" footer="0"/>
  <pageSetup paperSize="9" scale="85" orientation="landscape" r:id="rId1"/>
  <headerFooter alignWithMargins="0">
    <oddHeader>&amp;L&amp;"Angsana New,Regular"สำนักงาน เอ. เอ็ม. ที. แอสโซซิเอท</oddHeader>
    <oddFooter>&amp;C&amp;"Angsana New,Regular"5</oddFooter>
  </headerFooter>
  <rowBreaks count="1" manualBreakCount="1">
    <brk id="3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9"/>
  <sheetViews>
    <sheetView view="pageBreakPreview" zoomScale="90" zoomScaleNormal="100" zoomScaleSheetLayoutView="90" workbookViewId="0">
      <selection activeCell="G38" sqref="G38:K38"/>
    </sheetView>
  </sheetViews>
  <sheetFormatPr defaultRowHeight="18" x14ac:dyDescent="0.4"/>
  <cols>
    <col min="1" max="3" width="2.7109375" style="17" customWidth="1"/>
    <col min="4" max="4" width="40.85546875" style="17" customWidth="1"/>
    <col min="5" max="5" width="6.42578125" style="10" customWidth="1"/>
    <col min="6" max="6" width="0.7109375" style="10" customWidth="1"/>
    <col min="7" max="7" width="13.5703125" style="17" customWidth="1"/>
    <col min="8" max="8" width="0.7109375" style="17" customWidth="1"/>
    <col min="9" max="9" width="13.28515625" style="17" customWidth="1"/>
    <col min="10" max="10" width="0.5703125" style="17" customWidth="1"/>
    <col min="11" max="11" width="13.42578125" style="17" customWidth="1"/>
    <col min="12" max="12" width="0.7109375" style="17" customWidth="1"/>
    <col min="13" max="13" width="14" style="17" customWidth="1"/>
    <col min="14" max="14" width="1.7109375" style="17" customWidth="1"/>
    <col min="15" max="15" width="12.7109375" style="17" hidden="1" customWidth="1"/>
    <col min="16" max="16" width="13.28515625" style="17" hidden="1" customWidth="1"/>
    <col min="17" max="17" width="9.140625" style="17"/>
    <col min="18" max="18" width="10.140625" style="17" customWidth="1"/>
    <col min="19" max="16384" width="9.140625" style="17"/>
  </cols>
  <sheetData>
    <row r="1" spans="1:15" x14ac:dyDescent="0.4">
      <c r="A1" s="131" t="s">
        <v>52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5" x14ac:dyDescent="0.4">
      <c r="A2" s="132" t="s">
        <v>29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5" x14ac:dyDescent="0.4">
      <c r="A3" s="132" t="str">
        <f>+'งบกำไรขาดทุน Q4_61'!A4:L4</f>
        <v>สำหรับปีสิ้นสุดวันที่ 31 ธันวาคม 2561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5" x14ac:dyDescent="0.4">
      <c r="A4" s="5"/>
      <c r="B4" s="5"/>
      <c r="C4" s="5"/>
      <c r="D4" s="5"/>
      <c r="E4" s="5"/>
      <c r="F4" s="5"/>
      <c r="G4" s="136" t="s">
        <v>13</v>
      </c>
      <c r="H4" s="136"/>
      <c r="I4" s="136"/>
      <c r="J4" s="136"/>
      <c r="K4" s="136"/>
      <c r="L4" s="136"/>
      <c r="M4" s="136"/>
    </row>
    <row r="5" spans="1:15" x14ac:dyDescent="0.4">
      <c r="G5" s="136" t="s">
        <v>34</v>
      </c>
      <c r="H5" s="136"/>
      <c r="I5" s="136"/>
      <c r="J5" s="4"/>
      <c r="K5" s="136" t="s">
        <v>35</v>
      </c>
      <c r="L5" s="136"/>
      <c r="M5" s="136"/>
    </row>
    <row r="6" spans="1:15" x14ac:dyDescent="0.4">
      <c r="G6" s="129" t="s">
        <v>147</v>
      </c>
      <c r="H6" s="129"/>
      <c r="I6" s="129"/>
      <c r="J6" s="6"/>
      <c r="K6" s="129" t="str">
        <f>+G6</f>
        <v>สำหรับปีสิ้นสุดวันที่ 31 ธันวาคม</v>
      </c>
      <c r="L6" s="129"/>
      <c r="M6" s="129"/>
    </row>
    <row r="7" spans="1:15" ht="18.75" customHeight="1" x14ac:dyDescent="0.4">
      <c r="G7" s="36" t="s">
        <v>220</v>
      </c>
      <c r="H7" s="7"/>
      <c r="I7" s="36" t="s">
        <v>191</v>
      </c>
      <c r="J7" s="25"/>
      <c r="K7" s="36" t="str">
        <f>+G7</f>
        <v>2561</v>
      </c>
      <c r="L7" s="7"/>
      <c r="M7" s="36" t="str">
        <f>+I7</f>
        <v>2560</v>
      </c>
      <c r="N7" s="7"/>
      <c r="O7" s="25"/>
    </row>
    <row r="8" spans="1:15" ht="8.25" customHeight="1" x14ac:dyDescent="0.4">
      <c r="G8" s="25"/>
      <c r="H8" s="7"/>
      <c r="I8" s="25"/>
      <c r="J8" s="25"/>
      <c r="K8" s="25"/>
      <c r="L8" s="7"/>
      <c r="M8" s="25"/>
      <c r="N8" s="7"/>
      <c r="O8" s="25"/>
    </row>
    <row r="9" spans="1:15" x14ac:dyDescent="0.4">
      <c r="A9" s="12" t="s">
        <v>30</v>
      </c>
      <c r="B9" s="12"/>
      <c r="C9" s="12"/>
      <c r="D9" s="12"/>
      <c r="F9" s="18"/>
      <c r="G9" s="12"/>
      <c r="H9" s="12"/>
      <c r="I9" s="12"/>
      <c r="J9" s="12"/>
      <c r="K9" s="12"/>
      <c r="L9" s="35"/>
      <c r="M9" s="12"/>
    </row>
    <row r="10" spans="1:15" x14ac:dyDescent="0.4">
      <c r="A10" s="12"/>
      <c r="B10" s="12" t="s">
        <v>142</v>
      </c>
      <c r="C10" s="12"/>
      <c r="D10" s="12"/>
      <c r="E10" s="18"/>
      <c r="F10" s="18"/>
      <c r="G10" s="69">
        <f>'งบกำไรขาดทุน Q4_61'!F32</f>
        <v>3211457.549999997</v>
      </c>
      <c r="H10" s="69"/>
      <c r="I10" s="69">
        <f>'งบกำไรขาดทุน Q4_61'!H32</f>
        <v>359148493.98000008</v>
      </c>
      <c r="J10" s="69"/>
      <c r="K10" s="69">
        <f>'งบกำไรขาดทุน Q4_61'!J32</f>
        <v>561094037.83999991</v>
      </c>
      <c r="L10" s="69"/>
      <c r="M10" s="69">
        <f>'งบกำไรขาดทุน Q4_61'!L32</f>
        <v>71469669.329999983</v>
      </c>
    </row>
    <row r="11" spans="1:15" x14ac:dyDescent="0.4">
      <c r="A11" s="12"/>
      <c r="B11" s="12" t="s">
        <v>31</v>
      </c>
      <c r="C11" s="12"/>
      <c r="D11" s="12"/>
      <c r="E11" s="18"/>
      <c r="F11" s="18"/>
      <c r="G11" s="69"/>
      <c r="H11" s="69"/>
      <c r="I11" s="69"/>
      <c r="J11" s="69"/>
      <c r="K11" s="69"/>
      <c r="L11" s="69"/>
      <c r="M11" s="69"/>
    </row>
    <row r="12" spans="1:15" x14ac:dyDescent="0.4">
      <c r="A12" s="12"/>
      <c r="B12" s="12"/>
      <c r="C12" s="12"/>
      <c r="D12" s="35" t="s">
        <v>4</v>
      </c>
      <c r="E12" s="19" t="s">
        <v>226</v>
      </c>
      <c r="F12" s="18"/>
      <c r="G12" s="69">
        <f>3970620.18+1</f>
        <v>3970621.18</v>
      </c>
      <c r="H12" s="69"/>
      <c r="I12" s="69">
        <f>3590803.75+440177.66</f>
        <v>4030981.41</v>
      </c>
      <c r="J12" s="69"/>
      <c r="K12" s="69">
        <f>3944793.02+1</f>
        <v>3944794.02</v>
      </c>
      <c r="L12" s="69"/>
      <c r="M12" s="69">
        <f>3587493+440177.66</f>
        <v>4027670.66</v>
      </c>
    </row>
    <row r="13" spans="1:15" x14ac:dyDescent="0.4">
      <c r="A13" s="12"/>
      <c r="B13" s="12"/>
      <c r="C13" s="12"/>
      <c r="D13" s="12" t="s">
        <v>102</v>
      </c>
      <c r="E13" s="19"/>
      <c r="F13" s="18"/>
      <c r="G13" s="69">
        <v>-3400000</v>
      </c>
      <c r="H13" s="69"/>
      <c r="I13" s="69">
        <v>0</v>
      </c>
      <c r="J13" s="69"/>
      <c r="K13" s="69">
        <v>-3000000</v>
      </c>
      <c r="L13" s="69"/>
      <c r="M13" s="69">
        <v>0</v>
      </c>
    </row>
    <row r="14" spans="1:15" x14ac:dyDescent="0.4">
      <c r="A14" s="12"/>
      <c r="B14" s="12"/>
      <c r="C14" s="12"/>
      <c r="D14" s="12" t="s">
        <v>178</v>
      </c>
      <c r="E14" s="7">
        <v>9</v>
      </c>
      <c r="F14" s="18"/>
      <c r="G14" s="69">
        <v>-1000000</v>
      </c>
      <c r="H14" s="69"/>
      <c r="I14" s="69">
        <v>-25375997.460000001</v>
      </c>
      <c r="J14" s="69"/>
      <c r="K14" s="69">
        <v>-1000000</v>
      </c>
      <c r="L14" s="69"/>
      <c r="M14" s="69">
        <v>-46807021.799999997</v>
      </c>
    </row>
    <row r="15" spans="1:15" x14ac:dyDescent="0.4">
      <c r="A15" s="12"/>
      <c r="B15" s="12"/>
      <c r="C15" s="12"/>
      <c r="D15" s="12" t="s">
        <v>203</v>
      </c>
      <c r="E15" s="19"/>
      <c r="F15" s="18"/>
      <c r="G15" s="69">
        <v>0</v>
      </c>
      <c r="H15" s="69"/>
      <c r="I15" s="69">
        <v>-23639384.309999999</v>
      </c>
      <c r="J15" s="69"/>
      <c r="K15" s="69">
        <v>0</v>
      </c>
      <c r="L15" s="69"/>
      <c r="M15" s="69">
        <v>-23639384.309999999</v>
      </c>
    </row>
    <row r="16" spans="1:15" x14ac:dyDescent="0.4">
      <c r="A16" s="12"/>
      <c r="B16" s="12"/>
      <c r="C16" s="12"/>
      <c r="D16" s="35" t="s">
        <v>74</v>
      </c>
      <c r="E16" s="81">
        <v>4.4000000000000004</v>
      </c>
      <c r="F16" s="19"/>
      <c r="G16" s="69">
        <v>232278315.22999999</v>
      </c>
      <c r="H16" s="88"/>
      <c r="I16" s="69">
        <v>19993548.649999999</v>
      </c>
      <c r="J16" s="88"/>
      <c r="K16" s="69">
        <v>125929231.51000001</v>
      </c>
      <c r="L16" s="69"/>
      <c r="M16" s="69">
        <v>40671211.270000003</v>
      </c>
    </row>
    <row r="17" spans="1:13" x14ac:dyDescent="0.4">
      <c r="A17" s="12"/>
      <c r="B17" s="12"/>
      <c r="C17" s="12"/>
      <c r="D17" s="35" t="s">
        <v>216</v>
      </c>
      <c r="E17" s="81"/>
      <c r="F17" s="19"/>
      <c r="G17" s="69">
        <v>0</v>
      </c>
      <c r="H17" s="88"/>
      <c r="I17" s="69">
        <v>0</v>
      </c>
      <c r="J17" s="88"/>
      <c r="K17" s="69">
        <v>-445340480</v>
      </c>
      <c r="L17" s="69"/>
      <c r="M17" s="69">
        <v>0</v>
      </c>
    </row>
    <row r="18" spans="1:13" ht="19.5" customHeight="1" x14ac:dyDescent="0.4">
      <c r="A18" s="12"/>
      <c r="B18" s="12"/>
      <c r="C18" s="12"/>
      <c r="D18" s="35" t="s">
        <v>204</v>
      </c>
      <c r="E18" s="7"/>
      <c r="F18" s="19"/>
      <c r="G18" s="69">
        <v>-13802188.710000001</v>
      </c>
      <c r="H18" s="88"/>
      <c r="I18" s="69">
        <v>-39089333.609999999</v>
      </c>
      <c r="J18" s="88"/>
      <c r="K18" s="69">
        <v>-13264772.109999999</v>
      </c>
      <c r="L18" s="69"/>
      <c r="M18" s="69">
        <v>-39089333.609999999</v>
      </c>
    </row>
    <row r="19" spans="1:13" ht="18" customHeight="1" x14ac:dyDescent="0.4">
      <c r="A19" s="12"/>
      <c r="B19" s="12"/>
      <c r="C19" s="12"/>
      <c r="D19" s="35" t="s">
        <v>118</v>
      </c>
      <c r="E19" s="18">
        <v>17</v>
      </c>
      <c r="F19" s="19"/>
      <c r="G19" s="69">
        <v>-194527</v>
      </c>
      <c r="H19" s="88"/>
      <c r="I19" s="69">
        <v>2332895</v>
      </c>
      <c r="J19" s="88"/>
      <c r="K19" s="69">
        <v>-111255</v>
      </c>
      <c r="L19" s="69"/>
      <c r="M19" s="69">
        <v>2069152</v>
      </c>
    </row>
    <row r="20" spans="1:13" x14ac:dyDescent="0.4">
      <c r="D20" s="6" t="s">
        <v>151</v>
      </c>
      <c r="E20" s="10">
        <v>19.100000000000001</v>
      </c>
      <c r="G20" s="17">
        <v>66664693.479999997</v>
      </c>
      <c r="I20" s="17">
        <v>11342789.609999999</v>
      </c>
      <c r="K20" s="17">
        <f>66106529.57+558163.91</f>
        <v>66664693.479999997</v>
      </c>
      <c r="M20" s="17">
        <v>11056699.66</v>
      </c>
    </row>
    <row r="21" spans="1:13" x14ac:dyDescent="0.4">
      <c r="A21" s="12"/>
      <c r="B21" s="12"/>
      <c r="C21" s="12"/>
      <c r="D21" s="6" t="s">
        <v>141</v>
      </c>
      <c r="E21" s="81">
        <v>19.100000000000001</v>
      </c>
      <c r="F21" s="19"/>
      <c r="G21" s="88">
        <v>-38364544.399999999</v>
      </c>
      <c r="H21" s="88"/>
      <c r="I21" s="88">
        <v>10780252.939999999</v>
      </c>
      <c r="J21" s="88"/>
      <c r="K21" s="88">
        <v>-37981339.600000001</v>
      </c>
      <c r="L21" s="88"/>
      <c r="M21" s="88">
        <v>10798345.939999999</v>
      </c>
    </row>
    <row r="22" spans="1:13" x14ac:dyDescent="0.4">
      <c r="A22" s="12"/>
      <c r="B22" s="12"/>
      <c r="C22" s="12"/>
      <c r="D22" s="35" t="s">
        <v>92</v>
      </c>
      <c r="E22" s="19"/>
      <c r="F22" s="19"/>
      <c r="G22" s="90">
        <v>12770790.76</v>
      </c>
      <c r="H22" s="88"/>
      <c r="I22" s="90">
        <v>2435127.31</v>
      </c>
      <c r="J22" s="88"/>
      <c r="K22" s="90">
        <v>14614363.6</v>
      </c>
      <c r="L22" s="88"/>
      <c r="M22" s="90">
        <v>8276296.4800000004</v>
      </c>
    </row>
    <row r="23" spans="1:13" x14ac:dyDescent="0.4">
      <c r="A23" s="12"/>
      <c r="B23" s="12" t="s">
        <v>75</v>
      </c>
      <c r="C23" s="12"/>
      <c r="D23" s="12"/>
      <c r="E23" s="19"/>
      <c r="F23" s="19"/>
      <c r="G23" s="69">
        <f>+SUM(G10:G22)</f>
        <v>262134618.08999994</v>
      </c>
      <c r="H23" s="88"/>
      <c r="I23" s="69">
        <f>+SUM(I10:I22)</f>
        <v>321959373.5200001</v>
      </c>
      <c r="J23" s="88"/>
      <c r="K23" s="69">
        <f>+SUM(K10:K22)</f>
        <v>271549273.73999989</v>
      </c>
      <c r="L23" s="88"/>
      <c r="M23" s="69">
        <f>+SUM(M10:M22)</f>
        <v>38833305.61999999</v>
      </c>
    </row>
    <row r="24" spans="1:13" x14ac:dyDescent="0.4">
      <c r="A24" s="12"/>
      <c r="B24" s="12" t="s">
        <v>61</v>
      </c>
      <c r="C24" s="12"/>
      <c r="D24" s="12"/>
      <c r="E24" s="19"/>
      <c r="F24" s="19"/>
      <c r="G24" s="52"/>
      <c r="H24" s="80"/>
      <c r="I24" s="52"/>
      <c r="J24" s="80"/>
      <c r="K24" s="52"/>
      <c r="L24" s="80"/>
      <c r="M24" s="52"/>
    </row>
    <row r="25" spans="1:13" x14ac:dyDescent="0.4">
      <c r="A25" s="12"/>
      <c r="B25" s="12"/>
      <c r="C25" s="17" t="s">
        <v>99</v>
      </c>
      <c r="D25" s="12"/>
      <c r="E25" s="28">
        <v>4.3</v>
      </c>
      <c r="F25" s="18"/>
      <c r="G25" s="69">
        <v>173518878.66999999</v>
      </c>
      <c r="H25" s="69"/>
      <c r="I25" s="69">
        <v>-97088.82</v>
      </c>
      <c r="J25" s="69"/>
      <c r="K25" s="69">
        <v>167479551.09</v>
      </c>
      <c r="L25" s="69"/>
      <c r="M25" s="69">
        <v>-38592835.359999999</v>
      </c>
    </row>
    <row r="26" spans="1:13" x14ac:dyDescent="0.4">
      <c r="A26" s="12"/>
      <c r="B26" s="12"/>
      <c r="C26" s="12" t="s">
        <v>95</v>
      </c>
      <c r="D26" s="12"/>
      <c r="E26" s="18">
        <v>5</v>
      </c>
      <c r="F26" s="18"/>
      <c r="G26" s="69">
        <v>30451670.100000001</v>
      </c>
      <c r="H26" s="69"/>
      <c r="I26" s="69">
        <v>-177077861.59999999</v>
      </c>
      <c r="J26" s="69"/>
      <c r="K26" s="69">
        <v>-34984755.579999998</v>
      </c>
      <c r="L26" s="69"/>
      <c r="M26" s="69">
        <v>-8132000</v>
      </c>
    </row>
    <row r="27" spans="1:13" x14ac:dyDescent="0.4">
      <c r="A27" s="12"/>
      <c r="B27" s="12"/>
      <c r="C27" s="12" t="s">
        <v>94</v>
      </c>
      <c r="D27" s="12"/>
      <c r="E27" s="28">
        <v>2.2000000000000002</v>
      </c>
      <c r="F27" s="18"/>
      <c r="G27" s="69">
        <v>3760032.95</v>
      </c>
      <c r="H27" s="69"/>
      <c r="I27" s="69">
        <v>927976.93</v>
      </c>
      <c r="J27" s="69"/>
      <c r="K27" s="69">
        <v>-1074050.6399999999</v>
      </c>
      <c r="L27" s="69"/>
      <c r="M27" s="69">
        <v>7339969.8200000003</v>
      </c>
    </row>
    <row r="28" spans="1:13" s="122" customFormat="1" x14ac:dyDescent="0.4">
      <c r="A28" s="12"/>
      <c r="B28" s="12"/>
      <c r="C28" s="12" t="s">
        <v>136</v>
      </c>
      <c r="D28" s="12"/>
      <c r="E28" s="18">
        <v>6</v>
      </c>
      <c r="F28" s="18"/>
      <c r="G28" s="69">
        <f>-75500000+27324893.41-4376.2</f>
        <v>-48179482.790000007</v>
      </c>
      <c r="H28" s="69"/>
      <c r="I28" s="69">
        <f>-40915329.22+120000-90894.22</f>
        <v>-40886223.439999998</v>
      </c>
      <c r="J28" s="69"/>
      <c r="K28" s="69">
        <f>-75500000+21845227.6-50900.94</f>
        <v>-53705673.339999996</v>
      </c>
      <c r="L28" s="69"/>
      <c r="M28" s="69">
        <f>-35437310.76+120000-59787.46</f>
        <v>-35377098.219999999</v>
      </c>
    </row>
    <row r="29" spans="1:13" x14ac:dyDescent="0.4">
      <c r="A29" s="12"/>
      <c r="B29" s="12"/>
      <c r="C29" s="12" t="s">
        <v>137</v>
      </c>
      <c r="D29" s="12"/>
      <c r="E29" s="28">
        <v>2.2999999999999998</v>
      </c>
      <c r="F29" s="18"/>
      <c r="G29" s="69">
        <v>0</v>
      </c>
      <c r="H29" s="69"/>
      <c r="I29" s="69">
        <v>788059.48</v>
      </c>
      <c r="J29" s="69"/>
      <c r="K29" s="69">
        <f>-72520560.97-1592034.94</f>
        <v>-74112595.909999996</v>
      </c>
      <c r="L29" s="69"/>
      <c r="M29" s="69">
        <f>205487.69+8067513.76</f>
        <v>8273001.4500000002</v>
      </c>
    </row>
    <row r="30" spans="1:13" x14ac:dyDescent="0.4">
      <c r="A30" s="12"/>
      <c r="B30" s="12"/>
      <c r="C30" s="12" t="s">
        <v>45</v>
      </c>
      <c r="D30" s="12"/>
      <c r="E30" s="18"/>
      <c r="F30" s="18"/>
      <c r="G30" s="69">
        <v>-2011564.67</v>
      </c>
      <c r="H30" s="69"/>
      <c r="I30" s="69">
        <v>1252820.31</v>
      </c>
      <c r="J30" s="69"/>
      <c r="K30" s="69">
        <v>-2366889.2599999998</v>
      </c>
      <c r="L30" s="69"/>
      <c r="M30" s="69">
        <v>966847.41</v>
      </c>
    </row>
    <row r="31" spans="1:13" x14ac:dyDescent="0.4">
      <c r="A31" s="12"/>
      <c r="B31" s="12"/>
      <c r="C31" s="12" t="s">
        <v>47</v>
      </c>
      <c r="D31" s="12"/>
      <c r="E31" s="11"/>
      <c r="F31" s="18"/>
      <c r="G31" s="69">
        <v>4621693.8099999996</v>
      </c>
      <c r="H31" s="69"/>
      <c r="I31" s="69">
        <v>17953707.52</v>
      </c>
      <c r="J31" s="69"/>
      <c r="K31" s="69">
        <v>3943776.35</v>
      </c>
      <c r="L31" s="69"/>
      <c r="M31" s="69">
        <f>2813283.27+14924400</f>
        <v>17737683.27</v>
      </c>
    </row>
    <row r="32" spans="1:13" x14ac:dyDescent="0.4">
      <c r="A32" s="12"/>
      <c r="B32" s="12" t="s">
        <v>62</v>
      </c>
      <c r="C32" s="12"/>
      <c r="D32" s="12"/>
      <c r="E32" s="18"/>
      <c r="F32" s="18"/>
      <c r="G32" s="69"/>
      <c r="H32" s="69"/>
      <c r="I32" s="69"/>
      <c r="J32" s="69"/>
      <c r="K32" s="69"/>
      <c r="L32" s="69"/>
      <c r="M32" s="69"/>
    </row>
    <row r="33" spans="1:25" x14ac:dyDescent="0.4">
      <c r="A33" s="12"/>
      <c r="B33" s="12"/>
      <c r="C33" s="12" t="s">
        <v>96</v>
      </c>
      <c r="D33" s="12"/>
      <c r="E33" s="18">
        <v>13</v>
      </c>
      <c r="F33" s="18"/>
      <c r="G33" s="69">
        <v>460350.67</v>
      </c>
      <c r="H33" s="69"/>
      <c r="I33" s="69">
        <v>166000.31</v>
      </c>
      <c r="J33" s="69"/>
      <c r="K33" s="69">
        <v>0</v>
      </c>
      <c r="L33" s="69"/>
      <c r="M33" s="69">
        <v>0</v>
      </c>
    </row>
    <row r="34" spans="1:25" x14ac:dyDescent="0.4">
      <c r="A34" s="12"/>
      <c r="B34" s="12"/>
      <c r="C34" s="12" t="s">
        <v>97</v>
      </c>
      <c r="D34" s="12"/>
      <c r="E34" s="28">
        <v>2.5</v>
      </c>
      <c r="F34" s="18"/>
      <c r="G34" s="69">
        <v>0</v>
      </c>
      <c r="H34" s="69"/>
      <c r="I34" s="69">
        <v>0</v>
      </c>
      <c r="J34" s="69"/>
      <c r="K34" s="69">
        <v>-92970000</v>
      </c>
      <c r="L34" s="69"/>
      <c r="M34" s="69">
        <v>-13503400</v>
      </c>
    </row>
    <row r="35" spans="1:25" x14ac:dyDescent="0.4">
      <c r="A35" s="12"/>
      <c r="B35" s="12"/>
      <c r="C35" s="12" t="s">
        <v>138</v>
      </c>
      <c r="D35" s="12"/>
      <c r="E35" s="18">
        <v>14</v>
      </c>
      <c r="F35" s="18"/>
      <c r="G35" s="69">
        <v>-8195618.2199999997</v>
      </c>
      <c r="H35" s="69"/>
      <c r="I35" s="69">
        <v>-18142814.690000001</v>
      </c>
      <c r="J35" s="69"/>
      <c r="K35" s="69">
        <v>-7606691.9500000002</v>
      </c>
      <c r="L35" s="69"/>
      <c r="M35" s="69">
        <v>-8244750.8499999996</v>
      </c>
    </row>
    <row r="36" spans="1:25" x14ac:dyDescent="0.4">
      <c r="A36" s="12"/>
      <c r="B36" s="12"/>
      <c r="C36" s="12" t="s">
        <v>174</v>
      </c>
      <c r="D36" s="12"/>
      <c r="E36" s="28">
        <v>2.6</v>
      </c>
      <c r="F36" s="18"/>
      <c r="G36" s="69">
        <v>0</v>
      </c>
      <c r="H36" s="69"/>
      <c r="I36" s="69">
        <v>0</v>
      </c>
      <c r="J36" s="69"/>
      <c r="K36" s="69">
        <v>-5329025.17</v>
      </c>
      <c r="L36" s="69"/>
      <c r="M36" s="69">
        <v>1059270.43</v>
      </c>
    </row>
    <row r="37" spans="1:25" s="122" customFormat="1" x14ac:dyDescent="0.4">
      <c r="A37" s="12"/>
      <c r="B37" s="12"/>
      <c r="C37" s="12" t="s">
        <v>50</v>
      </c>
      <c r="D37" s="12"/>
      <c r="E37" s="18"/>
      <c r="F37" s="18"/>
      <c r="G37" s="69">
        <v>-9088032.8000000007</v>
      </c>
      <c r="H37" s="69"/>
      <c r="I37" s="69">
        <v>-119339290.5</v>
      </c>
      <c r="J37" s="69"/>
      <c r="K37" s="69">
        <v>-8562474.8300000001</v>
      </c>
      <c r="L37" s="69"/>
      <c r="M37" s="69">
        <v>-117452115.33</v>
      </c>
    </row>
    <row r="38" spans="1:25" s="122" customFormat="1" x14ac:dyDescent="0.4">
      <c r="A38" s="12"/>
      <c r="B38" s="12"/>
      <c r="C38" s="12" t="s">
        <v>189</v>
      </c>
      <c r="D38" s="12"/>
      <c r="E38" s="18"/>
      <c r="F38" s="18"/>
      <c r="G38" s="90">
        <v>4132472</v>
      </c>
      <c r="H38" s="69"/>
      <c r="I38" s="90">
        <v>-6815521.9400000004</v>
      </c>
      <c r="J38" s="69"/>
      <c r="K38" s="90">
        <v>3620256</v>
      </c>
      <c r="L38" s="69"/>
      <c r="M38" s="90">
        <v>-7079264.9400000004</v>
      </c>
    </row>
    <row r="39" spans="1:25" s="12" customFormat="1" x14ac:dyDescent="0.4">
      <c r="B39" s="12" t="s">
        <v>79</v>
      </c>
      <c r="E39" s="18"/>
      <c r="F39" s="18"/>
      <c r="G39" s="69">
        <f>SUM(G23:G38)</f>
        <v>411605017.80999988</v>
      </c>
      <c r="H39" s="69"/>
      <c r="I39" s="69">
        <f>SUM(I23:I38)</f>
        <v>-19310862.919999871</v>
      </c>
      <c r="J39" s="69"/>
      <c r="K39" s="69">
        <f>SUM(K23:K38)</f>
        <v>165880700.50000006</v>
      </c>
      <c r="L39" s="69"/>
      <c r="M39" s="69">
        <f>SUM(M23:M38)</f>
        <v>-154171386.69999999</v>
      </c>
    </row>
    <row r="40" spans="1:25" s="12" customFormat="1" x14ac:dyDescent="0.4">
      <c r="C40" s="12" t="s">
        <v>80</v>
      </c>
      <c r="E40" s="18"/>
      <c r="F40" s="18"/>
      <c r="G40" s="69">
        <v>-12770790.76</v>
      </c>
      <c r="H40" s="69"/>
      <c r="I40" s="69">
        <v>-2435127.31</v>
      </c>
      <c r="J40" s="69"/>
      <c r="K40" s="69">
        <v>-14614363.6</v>
      </c>
      <c r="L40" s="69"/>
      <c r="M40" s="69">
        <v>-8276296.4800000004</v>
      </c>
    </row>
    <row r="41" spans="1:25" s="12" customFormat="1" x14ac:dyDescent="0.4">
      <c r="C41" s="12" t="s">
        <v>81</v>
      </c>
      <c r="E41" s="18"/>
      <c r="F41" s="18"/>
      <c r="G41" s="69">
        <v>-58678895.840000004</v>
      </c>
      <c r="H41" s="69"/>
      <c r="I41" s="69">
        <v>-8300257.3799999999</v>
      </c>
      <c r="J41" s="69"/>
      <c r="K41" s="69">
        <v>-57722579.280000001</v>
      </c>
      <c r="L41" s="69"/>
      <c r="M41" s="69">
        <v>-7365297.46</v>
      </c>
    </row>
    <row r="42" spans="1:25" x14ac:dyDescent="0.4">
      <c r="A42" s="12"/>
      <c r="B42" s="12"/>
      <c r="C42" s="12"/>
      <c r="D42" s="12" t="s">
        <v>82</v>
      </c>
      <c r="E42" s="18"/>
      <c r="F42" s="18"/>
      <c r="G42" s="85">
        <f>SUM(G39:G41)</f>
        <v>340155331.20999992</v>
      </c>
      <c r="H42" s="69"/>
      <c r="I42" s="85">
        <f>SUM(I39:I41)</f>
        <v>-30046247.609999869</v>
      </c>
      <c r="J42" s="69"/>
      <c r="K42" s="85">
        <f>SUM(K39:K41)</f>
        <v>93543757.620000064</v>
      </c>
      <c r="L42" s="69"/>
      <c r="M42" s="85">
        <f>SUM(M39:M41)</f>
        <v>-169812980.63999999</v>
      </c>
    </row>
    <row r="43" spans="1:25" ht="12" customHeight="1" x14ac:dyDescent="0.4">
      <c r="A43" s="12"/>
      <c r="B43" s="12"/>
      <c r="C43" s="12"/>
      <c r="D43" s="12"/>
      <c r="E43" s="18"/>
      <c r="F43" s="18"/>
      <c r="G43" s="88"/>
      <c r="H43" s="69"/>
      <c r="I43" s="88"/>
      <c r="J43" s="69"/>
      <c r="K43" s="88"/>
      <c r="L43" s="69"/>
      <c r="M43" s="88"/>
    </row>
    <row r="44" spans="1:25" x14ac:dyDescent="0.4">
      <c r="A44" s="6" t="s">
        <v>146</v>
      </c>
      <c r="B44" s="12"/>
      <c r="C44" s="12"/>
      <c r="D44" s="12"/>
      <c r="E44" s="18"/>
      <c r="F44" s="18"/>
      <c r="G44" s="88"/>
      <c r="H44" s="69"/>
      <c r="I44" s="88"/>
      <c r="J44" s="69"/>
      <c r="K44" s="88"/>
      <c r="L44" s="69"/>
      <c r="M44" s="88"/>
    </row>
    <row r="45" spans="1:25" x14ac:dyDescent="0.4">
      <c r="A45" s="6"/>
      <c r="B45" s="12"/>
      <c r="C45" s="12"/>
      <c r="D45" s="12"/>
      <c r="E45" s="18"/>
      <c r="F45" s="18"/>
      <c r="G45" s="20"/>
      <c r="H45" s="11"/>
      <c r="I45" s="20"/>
      <c r="J45" s="11"/>
      <c r="K45" s="20"/>
      <c r="L45" s="11"/>
      <c r="M45" s="20"/>
    </row>
    <row r="46" spans="1:25" x14ac:dyDescent="0.4">
      <c r="A46" s="6"/>
      <c r="B46" s="12"/>
      <c r="C46" s="12"/>
      <c r="D46" s="12"/>
      <c r="E46" s="18"/>
      <c r="F46" s="18"/>
      <c r="G46" s="20"/>
      <c r="H46" s="11"/>
      <c r="I46" s="20"/>
      <c r="J46" s="11"/>
      <c r="K46" s="20"/>
      <c r="L46" s="11"/>
      <c r="M46" s="20"/>
    </row>
    <row r="47" spans="1:25" s="6" customFormat="1" x14ac:dyDescent="0.4">
      <c r="A47" s="7"/>
      <c r="B47" s="21" t="s">
        <v>21</v>
      </c>
      <c r="C47" s="7"/>
      <c r="D47" s="21"/>
      <c r="E47" s="7"/>
      <c r="F47" s="21" t="s">
        <v>21</v>
      </c>
      <c r="G47" s="7"/>
      <c r="H47" s="7"/>
      <c r="I47" s="7"/>
      <c r="J47" s="7"/>
      <c r="K47" s="7"/>
      <c r="L47" s="7"/>
      <c r="M47" s="7"/>
      <c r="N47" s="15"/>
      <c r="O47" s="15"/>
      <c r="P47" s="20"/>
      <c r="Q47" s="15"/>
      <c r="R47" s="15"/>
      <c r="S47" s="15"/>
      <c r="T47" s="15"/>
      <c r="U47" s="15"/>
      <c r="V47" s="15"/>
      <c r="W47" s="15"/>
      <c r="X47" s="15"/>
      <c r="Y47" s="15"/>
    </row>
    <row r="48" spans="1:25" s="6" customFormat="1" x14ac:dyDescent="0.4">
      <c r="A48" s="7"/>
      <c r="B48" s="21"/>
      <c r="C48" s="7"/>
      <c r="D48" s="21"/>
      <c r="E48" s="7"/>
      <c r="F48" s="21"/>
      <c r="G48" s="7"/>
      <c r="H48" s="7"/>
      <c r="I48" s="7"/>
      <c r="J48" s="7"/>
      <c r="K48" s="7"/>
      <c r="L48" s="7"/>
      <c r="M48" s="7"/>
      <c r="N48" s="15"/>
      <c r="O48" s="15"/>
      <c r="P48" s="20"/>
      <c r="Q48" s="15"/>
      <c r="R48" s="15"/>
      <c r="S48" s="15"/>
      <c r="T48" s="15"/>
      <c r="U48" s="15"/>
      <c r="V48" s="15"/>
      <c r="W48" s="15"/>
      <c r="X48" s="15"/>
      <c r="Y48" s="15"/>
    </row>
    <row r="49" spans="1:15" x14ac:dyDescent="0.4">
      <c r="A49" s="131" t="s">
        <v>52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</row>
    <row r="50" spans="1:15" x14ac:dyDescent="0.4">
      <c r="A50" s="132" t="s">
        <v>29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</row>
    <row r="51" spans="1:15" x14ac:dyDescent="0.4">
      <c r="A51" s="132" t="str">
        <f>+A3</f>
        <v>สำหรับปีสิ้นสุดวันที่ 31 ธันวาคม 2561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</row>
    <row r="52" spans="1:15" x14ac:dyDescent="0.4">
      <c r="A52" s="5"/>
      <c r="B52" s="5"/>
      <c r="C52" s="5"/>
      <c r="D52" s="5"/>
      <c r="E52" s="5"/>
      <c r="F52" s="5"/>
      <c r="G52" s="136" t="s">
        <v>13</v>
      </c>
      <c r="H52" s="136"/>
      <c r="I52" s="136"/>
      <c r="J52" s="136"/>
      <c r="K52" s="136"/>
      <c r="L52" s="136"/>
      <c r="M52" s="136"/>
    </row>
    <row r="53" spans="1:15" x14ac:dyDescent="0.4">
      <c r="G53" s="136" t="s">
        <v>34</v>
      </c>
      <c r="H53" s="136"/>
      <c r="I53" s="136"/>
      <c r="J53" s="4"/>
      <c r="K53" s="136" t="s">
        <v>35</v>
      </c>
      <c r="L53" s="136"/>
      <c r="M53" s="136"/>
    </row>
    <row r="54" spans="1:15" x14ac:dyDescent="0.4">
      <c r="G54" s="129" t="str">
        <f>+G6</f>
        <v>สำหรับปีสิ้นสุดวันที่ 31 ธันวาคม</v>
      </c>
      <c r="H54" s="129"/>
      <c r="I54" s="129"/>
      <c r="J54" s="6"/>
      <c r="K54" s="129" t="str">
        <f>+K6</f>
        <v>สำหรับปีสิ้นสุดวันที่ 31 ธันวาคม</v>
      </c>
      <c r="L54" s="129"/>
      <c r="M54" s="129"/>
    </row>
    <row r="55" spans="1:15" ht="18.75" customHeight="1" x14ac:dyDescent="0.4">
      <c r="G55" s="36" t="str">
        <f>+G7</f>
        <v>2561</v>
      </c>
      <c r="H55" s="7"/>
      <c r="I55" s="36" t="str">
        <f>+I7</f>
        <v>2560</v>
      </c>
      <c r="J55" s="25"/>
      <c r="K55" s="36" t="str">
        <f>+K7</f>
        <v>2561</v>
      </c>
      <c r="L55" s="7"/>
      <c r="M55" s="36" t="str">
        <f>+M7</f>
        <v>2560</v>
      </c>
      <c r="N55" s="7"/>
      <c r="O55" s="25"/>
    </row>
    <row r="56" spans="1:15" x14ac:dyDescent="0.4">
      <c r="A56" s="12" t="s">
        <v>7</v>
      </c>
      <c r="B56" s="12"/>
      <c r="C56" s="12"/>
      <c r="D56" s="12"/>
      <c r="E56" s="18"/>
      <c r="F56" s="18"/>
      <c r="G56" s="11"/>
      <c r="H56" s="11"/>
      <c r="I56" s="11"/>
      <c r="J56" s="11"/>
      <c r="K56" s="11"/>
      <c r="L56" s="11"/>
      <c r="M56" s="11"/>
    </row>
    <row r="57" spans="1:15" x14ac:dyDescent="0.4">
      <c r="A57" s="12"/>
      <c r="B57" s="12" t="s">
        <v>205</v>
      </c>
      <c r="C57" s="12"/>
      <c r="D57" s="12"/>
      <c r="E57" s="7"/>
      <c r="F57" s="18"/>
      <c r="G57" s="69">
        <v>0</v>
      </c>
      <c r="H57" s="69"/>
      <c r="I57" s="69">
        <v>0</v>
      </c>
      <c r="J57" s="69"/>
      <c r="K57" s="11">
        <v>0</v>
      </c>
      <c r="L57" s="69"/>
      <c r="M57" s="11">
        <v>95753003</v>
      </c>
    </row>
    <row r="58" spans="1:15" x14ac:dyDescent="0.4">
      <c r="A58" s="12"/>
      <c r="B58" s="12" t="s">
        <v>143</v>
      </c>
      <c r="C58" s="12"/>
      <c r="D58" s="12"/>
      <c r="E58" s="7">
        <v>9</v>
      </c>
      <c r="F58" s="18"/>
      <c r="G58" s="69">
        <v>-123999996.08</v>
      </c>
      <c r="H58" s="69"/>
      <c r="I58" s="69">
        <v>61030355.340000004</v>
      </c>
      <c r="J58" s="69"/>
      <c r="K58" s="69">
        <v>-124000000</v>
      </c>
      <c r="L58" s="69"/>
      <c r="M58" s="69">
        <v>61030301.759999998</v>
      </c>
    </row>
    <row r="59" spans="1:15" s="12" customFormat="1" x14ac:dyDescent="0.4">
      <c r="B59" s="12" t="s">
        <v>83</v>
      </c>
      <c r="E59" s="18">
        <v>11</v>
      </c>
      <c r="F59" s="18"/>
      <c r="G59" s="69">
        <v>-255989.03</v>
      </c>
      <c r="H59" s="69"/>
      <c r="I59" s="69">
        <f>240047.27-440177.66</f>
        <v>-200130.38999999998</v>
      </c>
      <c r="J59" s="69"/>
      <c r="K59" s="69">
        <v>-24476.63</v>
      </c>
      <c r="L59" s="69"/>
      <c r="M59" s="69">
        <f>400803.83-440177.66</f>
        <v>-39373.829999999958</v>
      </c>
    </row>
    <row r="60" spans="1:15" x14ac:dyDescent="0.4">
      <c r="A60" s="12"/>
      <c r="B60" s="12" t="s">
        <v>206</v>
      </c>
      <c r="D60" s="12"/>
      <c r="E60" s="18" t="s">
        <v>227</v>
      </c>
      <c r="F60" s="18"/>
      <c r="G60" s="69">
        <v>-590000000</v>
      </c>
      <c r="H60" s="69"/>
      <c r="I60" s="69">
        <v>-250000000</v>
      </c>
      <c r="J60" s="69"/>
      <c r="K60" s="69">
        <v>-590000000</v>
      </c>
      <c r="L60" s="69"/>
      <c r="M60" s="69">
        <v>-250000000</v>
      </c>
    </row>
    <row r="61" spans="1:15" x14ac:dyDescent="0.4">
      <c r="A61" s="12"/>
      <c r="B61" s="12" t="s">
        <v>207</v>
      </c>
      <c r="D61" s="12"/>
      <c r="E61" s="28">
        <v>2.4</v>
      </c>
      <c r="F61" s="18"/>
      <c r="G61" s="69">
        <v>0</v>
      </c>
      <c r="H61" s="69"/>
      <c r="I61" s="69">
        <v>0</v>
      </c>
      <c r="J61" s="69"/>
      <c r="K61" s="69">
        <v>-70600000</v>
      </c>
      <c r="L61" s="69"/>
      <c r="M61" s="69">
        <v>-9000000</v>
      </c>
    </row>
    <row r="62" spans="1:15" x14ac:dyDescent="0.4">
      <c r="A62" s="12"/>
      <c r="B62" s="12" t="s">
        <v>216</v>
      </c>
      <c r="D62" s="12"/>
      <c r="E62" s="28"/>
      <c r="F62" s="18"/>
      <c r="G62" s="69">
        <v>0</v>
      </c>
      <c r="H62" s="69"/>
      <c r="I62" s="69">
        <v>0</v>
      </c>
      <c r="J62" s="69"/>
      <c r="K62" s="69">
        <v>445340480</v>
      </c>
      <c r="L62" s="69"/>
      <c r="M62" s="69">
        <v>0</v>
      </c>
    </row>
    <row r="63" spans="1:15" x14ac:dyDescent="0.4">
      <c r="A63" s="12"/>
      <c r="B63" s="12" t="s">
        <v>204</v>
      </c>
      <c r="C63" s="12"/>
      <c r="D63" s="12"/>
      <c r="E63" s="7"/>
      <c r="F63" s="18"/>
      <c r="G63" s="69">
        <v>13802188.710000001</v>
      </c>
      <c r="H63" s="69"/>
      <c r="I63" s="69">
        <v>39089333.609999999</v>
      </c>
      <c r="J63" s="69"/>
      <c r="K63" s="69">
        <v>13264772.109999999</v>
      </c>
      <c r="L63" s="69"/>
      <c r="M63" s="69">
        <v>39089333.609999999</v>
      </c>
    </row>
    <row r="64" spans="1:15" x14ac:dyDescent="0.4">
      <c r="A64" s="12"/>
      <c r="B64" s="12"/>
      <c r="C64" s="12"/>
      <c r="D64" s="12" t="s">
        <v>76</v>
      </c>
      <c r="E64" s="18"/>
      <c r="F64" s="18"/>
      <c r="G64" s="85">
        <f>SUM(G57:G63)</f>
        <v>-700453796.39999998</v>
      </c>
      <c r="H64" s="88"/>
      <c r="I64" s="85">
        <f>SUM(I57:I63)</f>
        <v>-150080441.44</v>
      </c>
      <c r="J64" s="88"/>
      <c r="K64" s="85">
        <f>SUM(K57:K63)</f>
        <v>-326019224.51999998</v>
      </c>
      <c r="L64" s="88"/>
      <c r="M64" s="85">
        <f>SUM(M57:M63)</f>
        <v>-63166735.460000023</v>
      </c>
    </row>
    <row r="65" spans="1:16" x14ac:dyDescent="0.4">
      <c r="A65" s="12" t="s">
        <v>11</v>
      </c>
      <c r="B65" s="12"/>
      <c r="C65" s="12"/>
      <c r="D65" s="12"/>
      <c r="E65" s="18"/>
      <c r="F65" s="18"/>
      <c r="G65" s="88"/>
      <c r="H65" s="88"/>
      <c r="I65" s="88"/>
      <c r="J65" s="88"/>
      <c r="K65" s="88"/>
      <c r="L65" s="88"/>
      <c r="M65" s="88"/>
    </row>
    <row r="66" spans="1:16" s="12" customFormat="1" x14ac:dyDescent="0.4">
      <c r="B66" s="12" t="s">
        <v>208</v>
      </c>
      <c r="E66" s="18">
        <v>15</v>
      </c>
      <c r="F66" s="18"/>
      <c r="G66" s="69">
        <v>400000000</v>
      </c>
      <c r="H66" s="69"/>
      <c r="I66" s="69">
        <v>100000000</v>
      </c>
      <c r="J66" s="69"/>
      <c r="K66" s="69">
        <v>400000000</v>
      </c>
      <c r="L66" s="69"/>
      <c r="M66" s="69">
        <v>100000000</v>
      </c>
    </row>
    <row r="67" spans="1:16" s="12" customFormat="1" x14ac:dyDescent="0.4">
      <c r="B67" s="12" t="s">
        <v>157</v>
      </c>
      <c r="E67" s="28">
        <v>2.7</v>
      </c>
      <c r="F67" s="18"/>
      <c r="G67" s="69">
        <v>0</v>
      </c>
      <c r="H67" s="69"/>
      <c r="I67" s="69">
        <v>0</v>
      </c>
      <c r="J67" s="69"/>
      <c r="K67" s="69">
        <v>-112388800</v>
      </c>
      <c r="L67" s="69"/>
      <c r="M67" s="69">
        <v>-126021200</v>
      </c>
    </row>
    <row r="68" spans="1:16" s="12" customFormat="1" x14ac:dyDescent="0.4">
      <c r="B68" s="12" t="s">
        <v>209</v>
      </c>
      <c r="E68" s="18">
        <v>16</v>
      </c>
      <c r="F68" s="18"/>
      <c r="G68" s="69">
        <v>0</v>
      </c>
      <c r="H68" s="69"/>
      <c r="I68" s="69">
        <v>-3656700.81</v>
      </c>
      <c r="J68" s="69"/>
      <c r="K68" s="69">
        <v>0</v>
      </c>
      <c r="L68" s="69"/>
      <c r="M68" s="69">
        <v>-3656700.81</v>
      </c>
    </row>
    <row r="69" spans="1:16" s="12" customFormat="1" x14ac:dyDescent="0.4">
      <c r="B69" s="15" t="s">
        <v>181</v>
      </c>
      <c r="E69" s="28"/>
      <c r="F69" s="18"/>
      <c r="G69" s="69">
        <v>0</v>
      </c>
      <c r="H69" s="69"/>
      <c r="I69" s="69">
        <v>0</v>
      </c>
      <c r="J69" s="69"/>
      <c r="K69" s="88">
        <v>0</v>
      </c>
      <c r="L69" s="69"/>
      <c r="M69" s="88">
        <v>0</v>
      </c>
    </row>
    <row r="70" spans="1:16" s="12" customFormat="1" x14ac:dyDescent="0.4">
      <c r="B70" s="15" t="s">
        <v>215</v>
      </c>
      <c r="E70" s="18">
        <v>8</v>
      </c>
      <c r="F70" s="18"/>
      <c r="G70" s="69">
        <v>0</v>
      </c>
      <c r="H70" s="69"/>
      <c r="I70" s="69">
        <v>-452.27</v>
      </c>
      <c r="J70" s="69"/>
      <c r="K70" s="88">
        <v>0</v>
      </c>
      <c r="L70" s="69"/>
      <c r="M70" s="88">
        <v>0</v>
      </c>
    </row>
    <row r="71" spans="1:16" x14ac:dyDescent="0.4">
      <c r="A71" s="12"/>
      <c r="B71" s="12" t="s">
        <v>225</v>
      </c>
      <c r="C71" s="12"/>
      <c r="D71" s="12"/>
      <c r="E71" s="18">
        <v>20</v>
      </c>
      <c r="F71" s="18"/>
      <c r="G71" s="90">
        <v>-298659915.30000001</v>
      </c>
      <c r="H71" s="88"/>
      <c r="I71" s="90">
        <v>-391866939.95999998</v>
      </c>
      <c r="J71" s="88"/>
      <c r="K71" s="90">
        <v>-281880243.30000001</v>
      </c>
      <c r="L71" s="88"/>
      <c r="M71" s="90">
        <v>-338256291.95999998</v>
      </c>
    </row>
    <row r="72" spans="1:16" hidden="1" x14ac:dyDescent="0.4">
      <c r="A72" s="12"/>
      <c r="B72" s="12" t="s">
        <v>145</v>
      </c>
      <c r="C72" s="12"/>
      <c r="D72" s="12"/>
      <c r="E72" s="7">
        <v>4.3</v>
      </c>
      <c r="F72" s="18"/>
      <c r="G72" s="90">
        <f>-132351417.18+132351417.18</f>
        <v>0</v>
      </c>
      <c r="H72" s="88"/>
      <c r="I72" s="90">
        <f>-132351417.18+132351417.18</f>
        <v>0</v>
      </c>
      <c r="J72" s="88"/>
      <c r="K72" s="90">
        <v>0</v>
      </c>
      <c r="L72" s="88"/>
      <c r="M72" s="90">
        <v>0</v>
      </c>
    </row>
    <row r="73" spans="1:16" x14ac:dyDescent="0.4">
      <c r="A73" s="12"/>
      <c r="B73" s="12"/>
      <c r="C73" s="12"/>
      <c r="D73" s="12" t="s">
        <v>77</v>
      </c>
      <c r="E73" s="18"/>
      <c r="F73" s="18"/>
      <c r="G73" s="90">
        <f>SUM(G66:G72)</f>
        <v>101340084.69999999</v>
      </c>
      <c r="H73" s="88"/>
      <c r="I73" s="90">
        <f>SUM(I66:I72)</f>
        <v>-295524093.03999996</v>
      </c>
      <c r="J73" s="88"/>
      <c r="K73" s="90">
        <f>SUM(K66:K72)</f>
        <v>5730956.6999999881</v>
      </c>
      <c r="L73" s="88"/>
      <c r="M73" s="90">
        <f>SUM(M66:M72)</f>
        <v>-367934192.76999998</v>
      </c>
    </row>
    <row r="74" spans="1:16" ht="9" hidden="1" customHeight="1" x14ac:dyDescent="0.4">
      <c r="A74" s="12"/>
      <c r="B74" s="12"/>
      <c r="C74" s="12"/>
      <c r="D74" s="12"/>
      <c r="E74" s="18"/>
      <c r="F74" s="18"/>
      <c r="G74" s="88"/>
      <c r="H74" s="88"/>
      <c r="I74" s="88"/>
      <c r="J74" s="88"/>
      <c r="K74" s="88"/>
      <c r="L74" s="88"/>
      <c r="M74" s="88"/>
    </row>
    <row r="75" spans="1:16" x14ac:dyDescent="0.4">
      <c r="A75" s="12" t="s">
        <v>54</v>
      </c>
      <c r="B75" s="12"/>
      <c r="C75" s="12"/>
      <c r="D75" s="12"/>
      <c r="E75" s="18"/>
      <c r="F75" s="18"/>
      <c r="G75" s="85">
        <v>-20654545.370000001</v>
      </c>
      <c r="H75" s="88"/>
      <c r="I75" s="85">
        <v>-91355495.469999999</v>
      </c>
      <c r="J75" s="88"/>
      <c r="K75" s="90">
        <v>0</v>
      </c>
      <c r="L75" s="88"/>
      <c r="M75" s="90">
        <v>0</v>
      </c>
    </row>
    <row r="76" spans="1:16" x14ac:dyDescent="0.4">
      <c r="A76" s="12" t="s">
        <v>12</v>
      </c>
      <c r="B76" s="12"/>
      <c r="C76" s="12"/>
      <c r="D76" s="12"/>
      <c r="E76" s="18"/>
      <c r="F76" s="18"/>
      <c r="G76" s="107">
        <f>+G73+G64+G42+G75</f>
        <v>-279612925.86000013</v>
      </c>
      <c r="H76" s="69"/>
      <c r="I76" s="107">
        <f>+I73+I64+I42+I75</f>
        <v>-567006277.55999982</v>
      </c>
      <c r="J76" s="88"/>
      <c r="K76" s="89">
        <f>+K73+K64+K42+K75</f>
        <v>-226744510.19999993</v>
      </c>
      <c r="L76" s="88"/>
      <c r="M76" s="89">
        <f>+M73+M64+M42+M75</f>
        <v>-600913908.87</v>
      </c>
    </row>
    <row r="77" spans="1:16" x14ac:dyDescent="0.4">
      <c r="A77" s="12" t="s">
        <v>152</v>
      </c>
      <c r="B77" s="12"/>
      <c r="C77" s="12"/>
      <c r="D77" s="12"/>
      <c r="E77" s="18"/>
      <c r="F77" s="18"/>
      <c r="G77" s="83">
        <v>450323877</v>
      </c>
      <c r="H77" s="69"/>
      <c r="I77" s="83">
        <v>1017330154.5599999</v>
      </c>
      <c r="J77" s="69"/>
      <c r="K77" s="69">
        <v>256250858.19999999</v>
      </c>
      <c r="L77" s="69"/>
      <c r="M77" s="69">
        <v>857164767.07000005</v>
      </c>
      <c r="O77" s="9">
        <f>-G77+'งบแสดงฐานะการเงิน Q4_61'!H11</f>
        <v>0</v>
      </c>
      <c r="P77" s="17">
        <f>K77-'งบแสดงฐานะการเงิน Q4_61'!L11</f>
        <v>0</v>
      </c>
    </row>
    <row r="78" spans="1:16" ht="18.75" thickBot="1" x14ac:dyDescent="0.45">
      <c r="A78" s="12" t="s">
        <v>153</v>
      </c>
      <c r="B78" s="12"/>
      <c r="C78" s="12"/>
      <c r="D78" s="12"/>
      <c r="E78" s="18"/>
      <c r="F78" s="18"/>
      <c r="G78" s="86">
        <f>SUM(G76:G77)</f>
        <v>170710951.13999987</v>
      </c>
      <c r="H78" s="69"/>
      <c r="I78" s="86">
        <f>SUM(I76:I77)</f>
        <v>450323877.00000012</v>
      </c>
      <c r="J78" s="69"/>
      <c r="K78" s="86">
        <f>SUM(K76:K77)</f>
        <v>29506348.00000006</v>
      </c>
      <c r="L78" s="69"/>
      <c r="M78" s="86">
        <f>SUM(M76:M77)</f>
        <v>256250858.20000005</v>
      </c>
      <c r="O78" s="17">
        <f>G78-'งบแสดงฐานะการเงิน Q4_61'!F11</f>
        <v>0</v>
      </c>
      <c r="P78" s="17">
        <f>K78-'งบแสดงฐานะการเงิน Q4_61'!J11</f>
        <v>5.9604644775390625E-8</v>
      </c>
    </row>
    <row r="79" spans="1:16" ht="9" customHeight="1" thickTop="1" x14ac:dyDescent="0.4">
      <c r="A79" s="12"/>
      <c r="B79" s="12"/>
      <c r="C79" s="12"/>
      <c r="D79" s="12"/>
      <c r="E79" s="18"/>
      <c r="F79" s="18"/>
      <c r="G79" s="88"/>
      <c r="H79" s="69"/>
      <c r="I79" s="88"/>
      <c r="J79" s="69"/>
      <c r="K79" s="88"/>
      <c r="L79" s="69"/>
      <c r="M79" s="88"/>
    </row>
    <row r="80" spans="1:16" x14ac:dyDescent="0.4">
      <c r="A80" s="82" t="s">
        <v>123</v>
      </c>
      <c r="G80" s="52"/>
      <c r="H80" s="52"/>
      <c r="I80" s="52"/>
      <c r="J80" s="52"/>
      <c r="K80" s="52"/>
      <c r="L80" s="52"/>
      <c r="M80" s="52"/>
    </row>
    <row r="81" spans="1:25" s="76" customFormat="1" x14ac:dyDescent="0.4">
      <c r="A81" s="12"/>
      <c r="B81" s="12" t="s">
        <v>210</v>
      </c>
      <c r="C81" s="12"/>
      <c r="D81" s="12"/>
      <c r="E81" s="18"/>
      <c r="F81" s="18"/>
      <c r="G81" s="88">
        <v>0</v>
      </c>
      <c r="H81" s="69"/>
      <c r="I81" s="88">
        <v>0</v>
      </c>
      <c r="J81" s="69"/>
      <c r="K81" s="88">
        <v>0</v>
      </c>
      <c r="L81" s="69"/>
      <c r="M81" s="88">
        <v>67162234.099999994</v>
      </c>
    </row>
    <row r="82" spans="1:25" s="76" customFormat="1" x14ac:dyDescent="0.4">
      <c r="A82" s="12"/>
      <c r="B82" s="12" t="s">
        <v>211</v>
      </c>
      <c r="C82" s="12"/>
      <c r="D82" s="12"/>
      <c r="E82" s="18"/>
      <c r="F82" s="18"/>
      <c r="G82" s="88">
        <v>0</v>
      </c>
      <c r="H82" s="69"/>
      <c r="I82" s="88">
        <v>0</v>
      </c>
      <c r="J82" s="69"/>
      <c r="K82" s="88">
        <v>0</v>
      </c>
      <c r="L82" s="69"/>
      <c r="M82" s="88">
        <f>4042202.74-40818.3+39626.71</f>
        <v>4041011.1500000004</v>
      </c>
    </row>
    <row r="83" spans="1:25" s="76" customFormat="1" x14ac:dyDescent="0.4">
      <c r="A83" s="12"/>
      <c r="B83" s="12" t="s">
        <v>212</v>
      </c>
      <c r="C83" s="12"/>
      <c r="D83" s="12"/>
      <c r="E83" s="18"/>
      <c r="F83" s="18"/>
      <c r="G83" s="88">
        <v>0</v>
      </c>
      <c r="H83" s="69"/>
      <c r="I83" s="88">
        <v>0</v>
      </c>
      <c r="J83" s="69"/>
      <c r="K83" s="88">
        <v>0</v>
      </c>
      <c r="L83" s="69"/>
      <c r="M83" s="88">
        <v>70454406.909999996</v>
      </c>
    </row>
    <row r="84" spans="1:25" s="76" customFormat="1" x14ac:dyDescent="0.4">
      <c r="A84" s="12"/>
      <c r="B84" s="12" t="s">
        <v>213</v>
      </c>
      <c r="C84" s="12"/>
      <c r="D84" s="12"/>
      <c r="E84" s="18"/>
      <c r="F84" s="18"/>
      <c r="G84" s="88">
        <v>0</v>
      </c>
      <c r="H84" s="69"/>
      <c r="I84" s="88">
        <v>0</v>
      </c>
      <c r="J84" s="69"/>
      <c r="K84" s="88">
        <v>0</v>
      </c>
      <c r="L84" s="69"/>
      <c r="M84" s="88">
        <v>748838.34</v>
      </c>
    </row>
    <row r="85" spans="1:25" s="76" customFormat="1" x14ac:dyDescent="0.4">
      <c r="B85" s="75"/>
      <c r="D85" s="75"/>
      <c r="E85" s="75"/>
      <c r="F85" s="75"/>
      <c r="G85" s="79"/>
      <c r="H85" s="75"/>
      <c r="I85" s="77"/>
      <c r="J85" s="75"/>
      <c r="K85" s="79"/>
      <c r="L85" s="75"/>
      <c r="M85" s="79"/>
    </row>
    <row r="86" spans="1:25" s="76" customFormat="1" x14ac:dyDescent="0.4">
      <c r="A86" s="6" t="s">
        <v>146</v>
      </c>
      <c r="B86" s="75"/>
      <c r="D86" s="75"/>
      <c r="E86" s="75"/>
      <c r="F86" s="75"/>
      <c r="G86" s="79"/>
      <c r="H86" s="75"/>
      <c r="I86" s="77"/>
      <c r="J86" s="75"/>
      <c r="K86" s="79"/>
      <c r="L86" s="75"/>
      <c r="M86" s="79"/>
    </row>
    <row r="87" spans="1:25" s="76" customFormat="1" x14ac:dyDescent="0.4">
      <c r="B87" s="75"/>
      <c r="D87" s="75"/>
      <c r="E87" s="75"/>
      <c r="F87" s="75"/>
      <c r="G87" s="79"/>
      <c r="H87" s="75"/>
      <c r="I87" s="77"/>
      <c r="J87" s="75"/>
      <c r="K87" s="79"/>
      <c r="L87" s="75"/>
      <c r="M87" s="79"/>
    </row>
    <row r="89" spans="1:25" x14ac:dyDescent="0.4">
      <c r="A89" s="6"/>
    </row>
    <row r="90" spans="1:25" x14ac:dyDescent="0.4">
      <c r="A90" s="6"/>
    </row>
    <row r="91" spans="1:25" x14ac:dyDescent="0.4">
      <c r="A91" s="6"/>
    </row>
    <row r="92" spans="1:25" s="6" customFormat="1" x14ac:dyDescent="0.4">
      <c r="A92" s="7"/>
      <c r="B92" s="21" t="s">
        <v>21</v>
      </c>
      <c r="C92" s="7"/>
      <c r="D92" s="21"/>
      <c r="E92" s="7"/>
      <c r="F92" s="21" t="s">
        <v>21</v>
      </c>
      <c r="G92" s="7"/>
      <c r="H92" s="7"/>
      <c r="I92" s="7"/>
      <c r="J92" s="7"/>
      <c r="K92" s="7"/>
      <c r="L92" s="7"/>
      <c r="M92" s="7"/>
      <c r="N92" s="15"/>
      <c r="O92" s="15"/>
      <c r="P92" s="20"/>
      <c r="Q92" s="15"/>
      <c r="R92" s="15"/>
      <c r="S92" s="15"/>
      <c r="T92" s="15"/>
      <c r="U92" s="15"/>
      <c r="V92" s="15"/>
      <c r="W92" s="15"/>
      <c r="X92" s="15"/>
      <c r="Y92" s="15"/>
    </row>
    <row r="93" spans="1:25" hidden="1" x14ac:dyDescent="0.4">
      <c r="E93" s="68"/>
      <c r="O93" s="59"/>
    </row>
    <row r="94" spans="1:25" x14ac:dyDescent="0.4">
      <c r="A94" s="130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</row>
    <row r="97" spans="1:13" x14ac:dyDescent="0.4">
      <c r="A97" s="6"/>
      <c r="D97" s="8" t="s">
        <v>63</v>
      </c>
      <c r="E97" s="5"/>
      <c r="F97" s="5"/>
      <c r="G97" s="11">
        <v>170710951.13999999</v>
      </c>
      <c r="H97" s="20"/>
      <c r="I97" s="11">
        <v>450323877</v>
      </c>
      <c r="J97" s="20"/>
      <c r="K97" s="11">
        <v>29506348</v>
      </c>
      <c r="L97" s="11"/>
      <c r="M97" s="11">
        <v>256250858.19999999</v>
      </c>
    </row>
    <row r="98" spans="1:13" x14ac:dyDescent="0.4">
      <c r="A98" s="6"/>
      <c r="D98" s="8" t="s">
        <v>64</v>
      </c>
      <c r="E98" s="5"/>
      <c r="F98" s="5"/>
      <c r="G98" s="11">
        <f>+G97-G78</f>
        <v>0</v>
      </c>
      <c r="H98" s="11"/>
      <c r="I98" s="11">
        <f>+I97-I78</f>
        <v>0</v>
      </c>
      <c r="J98" s="11"/>
      <c r="K98" s="11">
        <f>+K97-K78</f>
        <v>-5.9604644775390625E-8</v>
      </c>
      <c r="L98" s="11"/>
      <c r="M98" s="11">
        <f>+M97-M78</f>
        <v>0</v>
      </c>
    </row>
    <row r="99" spans="1:13" x14ac:dyDescent="0.4">
      <c r="A99" s="6"/>
      <c r="E99" s="5"/>
      <c r="F99" s="5"/>
    </row>
    <row r="100" spans="1:13" x14ac:dyDescent="0.4">
      <c r="E100" s="5"/>
      <c r="F100" s="5"/>
    </row>
    <row r="101" spans="1:13" x14ac:dyDescent="0.4">
      <c r="E101" s="5"/>
      <c r="F101" s="5"/>
    </row>
    <row r="102" spans="1:13" x14ac:dyDescent="0.4">
      <c r="E102" s="5"/>
      <c r="F102" s="5"/>
    </row>
    <row r="103" spans="1:13" x14ac:dyDescent="0.4">
      <c r="E103" s="5"/>
      <c r="F103" s="5"/>
    </row>
    <row r="104" spans="1:13" x14ac:dyDescent="0.4">
      <c r="E104" s="5"/>
      <c r="F104" s="5"/>
    </row>
    <row r="105" spans="1:13" x14ac:dyDescent="0.4">
      <c r="E105" s="5"/>
      <c r="F105" s="5"/>
    </row>
    <row r="106" spans="1:13" x14ac:dyDescent="0.4">
      <c r="E106" s="5"/>
      <c r="F106" s="5"/>
    </row>
    <row r="107" spans="1:13" x14ac:dyDescent="0.4">
      <c r="E107" s="5"/>
      <c r="F107" s="5"/>
    </row>
    <row r="108" spans="1:13" x14ac:dyDescent="0.4">
      <c r="E108" s="5"/>
      <c r="F108" s="5"/>
    </row>
    <row r="109" spans="1:13" x14ac:dyDescent="0.4">
      <c r="E109" s="5"/>
      <c r="F109" s="5"/>
    </row>
    <row r="110" spans="1:13" x14ac:dyDescent="0.4">
      <c r="E110" s="5"/>
      <c r="F110" s="5"/>
    </row>
    <row r="111" spans="1:13" x14ac:dyDescent="0.4">
      <c r="E111" s="5"/>
      <c r="F111" s="5"/>
    </row>
    <row r="112" spans="1:13" x14ac:dyDescent="0.4">
      <c r="E112" s="5"/>
      <c r="F112" s="5"/>
    </row>
    <row r="113" spans="5:6" x14ac:dyDescent="0.4">
      <c r="E113" s="5"/>
      <c r="F113" s="5"/>
    </row>
    <row r="114" spans="5:6" x14ac:dyDescent="0.4">
      <c r="E114" s="5"/>
      <c r="F114" s="5"/>
    </row>
    <row r="115" spans="5:6" x14ac:dyDescent="0.4">
      <c r="E115" s="5"/>
      <c r="F115" s="5"/>
    </row>
    <row r="116" spans="5:6" x14ac:dyDescent="0.4">
      <c r="E116" s="5"/>
      <c r="F116" s="5"/>
    </row>
    <row r="117" spans="5:6" x14ac:dyDescent="0.4">
      <c r="E117" s="5"/>
      <c r="F117" s="5"/>
    </row>
    <row r="118" spans="5:6" x14ac:dyDescent="0.4">
      <c r="E118" s="5"/>
      <c r="F118" s="5"/>
    </row>
    <row r="119" spans="5:6" x14ac:dyDescent="0.4">
      <c r="E119" s="5"/>
      <c r="F119" s="5"/>
    </row>
    <row r="120" spans="5:6" x14ac:dyDescent="0.4">
      <c r="E120" s="5"/>
      <c r="F120" s="5"/>
    </row>
    <row r="121" spans="5:6" x14ac:dyDescent="0.4">
      <c r="E121" s="5"/>
      <c r="F121" s="5"/>
    </row>
    <row r="122" spans="5:6" x14ac:dyDescent="0.4">
      <c r="E122" s="5"/>
      <c r="F122" s="5"/>
    </row>
    <row r="123" spans="5:6" x14ac:dyDescent="0.4">
      <c r="E123" s="5"/>
      <c r="F123" s="5"/>
    </row>
    <row r="124" spans="5:6" x14ac:dyDescent="0.4">
      <c r="E124" s="5"/>
      <c r="F124" s="5"/>
    </row>
    <row r="125" spans="5:6" x14ac:dyDescent="0.4">
      <c r="E125" s="5"/>
      <c r="F125" s="5"/>
    </row>
    <row r="126" spans="5:6" x14ac:dyDescent="0.4">
      <c r="E126" s="5"/>
      <c r="F126" s="5"/>
    </row>
    <row r="127" spans="5:6" x14ac:dyDescent="0.4">
      <c r="E127" s="5"/>
      <c r="F127" s="5"/>
    </row>
    <row r="128" spans="5:6" x14ac:dyDescent="0.4">
      <c r="E128" s="5"/>
      <c r="F128" s="5"/>
    </row>
    <row r="129" spans="5:6" x14ac:dyDescent="0.4">
      <c r="E129" s="5"/>
      <c r="F129" s="5"/>
    </row>
  </sheetData>
  <mergeCells count="17">
    <mergeCell ref="A94:M94"/>
    <mergeCell ref="G53:I53"/>
    <mergeCell ref="A49:M49"/>
    <mergeCell ref="A50:M50"/>
    <mergeCell ref="K53:M53"/>
    <mergeCell ref="G52:M52"/>
    <mergeCell ref="G54:I54"/>
    <mergeCell ref="K54:M54"/>
    <mergeCell ref="A51:M51"/>
    <mergeCell ref="G6:I6"/>
    <mergeCell ref="K6:M6"/>
    <mergeCell ref="A3:M3"/>
    <mergeCell ref="A1:M1"/>
    <mergeCell ref="A2:M2"/>
    <mergeCell ref="K5:M5"/>
    <mergeCell ref="G4:M4"/>
    <mergeCell ref="G5:I5"/>
  </mergeCells>
  <phoneticPr fontId="0" type="noConversion"/>
  <pageMargins left="0.55000000000000004" right="0" top="1.05" bottom="0" header="0.5" footer="0"/>
  <pageSetup paperSize="9" scale="93" firstPageNumber="8" orientation="portrait" useFirstPageNumber="1" r:id="rId1"/>
  <headerFooter alignWithMargins="0">
    <oddHeader>&amp;L&amp;"Angsana New,Regular"&amp;12สำนักงาน &amp;16เอ. เอ็ม. ที.&amp;12 แอสโซซิเอท</oddHeader>
    <oddFooter>&amp;C&amp;P</oddFooter>
  </headerFooter>
  <rowBreaks count="1" manualBreakCount="1">
    <brk id="48" max="12" man="1"/>
  </rowBreaks>
  <ignoredErrors>
    <ignoredError sqref="H55 J55 L7 J7 H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Q4_61</vt:lpstr>
      <vt:lpstr>งบกำไรขาดทุน Q4_61</vt:lpstr>
      <vt:lpstr>เปลี่ยนแปลงรวม</vt:lpstr>
      <vt:lpstr>เปลี่ยนแปลงเฉพาะ</vt:lpstr>
      <vt:lpstr>งบกระแส</vt:lpstr>
      <vt:lpstr>'งบแสดงฐานะการเงิน Q4_61'!chaiyut</vt:lpstr>
      <vt:lpstr>'งบกำไรขาดทุน Q4_61'!chaiyut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Q4_61'!Print_Area</vt:lpstr>
      <vt:lpstr>งบกระแส!Print_Area</vt:lpstr>
      <vt:lpstr>'งบกำไรขาดทุน Q4_61'!Print_Area</vt:lpstr>
    </vt:vector>
  </TitlesOfParts>
  <Company>Users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Supanee Phongsuparbchon</cp:lastModifiedBy>
  <cp:lastPrinted>2019-02-18T03:53:25Z</cp:lastPrinted>
  <dcterms:created xsi:type="dcterms:W3CDTF">2003-04-30T06:44:25Z</dcterms:created>
  <dcterms:modified xsi:type="dcterms:W3CDTF">2019-02-21T14:21:31Z</dcterms:modified>
</cp:coreProperties>
</file>