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19\9.Draft AMT\Q4-2019 (AMT)\Q4-2019 (AMT) (REVISED 25.02.63) DRAFT\"/>
    </mc:Choice>
  </mc:AlternateContent>
  <xr:revisionPtr revIDLastSave="0" documentId="13_ncr:1_{33B2F82B-DAB1-4274-9E84-2FF76022849B}" xr6:coauthVersionLast="45" xr6:coauthVersionMax="45" xr10:uidLastSave="{00000000-0000-0000-0000-000000000000}"/>
  <bookViews>
    <workbookView xWindow="-120" yWindow="-120" windowWidth="29040" windowHeight="15840" tabRatio="640" xr2:uid="{00000000-000D-0000-FFFF-FFFF00000000}"/>
  </bookViews>
  <sheets>
    <sheet name="BS_Q4-62" sheetId="50" r:id="rId1"/>
    <sheet name="PL_Q4-62" sheetId="58" r:id="rId2"/>
    <sheet name="Changed-Conso" sheetId="49" r:id="rId3"/>
    <sheet name="Changed-Com" sheetId="4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CashFlow!$A$140</definedName>
    <definedName name="_xlnm.Print_Area" localSheetId="0">'BS_Q4-62'!$A$1:$L$132</definedName>
    <definedName name="_xlnm.Print_Area" localSheetId="4">CashFlow!$A$1:$M$92</definedName>
    <definedName name="_xlnm.Print_Area" localSheetId="3">'Changed-Com'!$A$1:$X$39</definedName>
    <definedName name="_xlnm.Print_Area" localSheetId="2">'Changed-Conso'!$A$1:$Z$40</definedName>
    <definedName name="_xlnm.Print_Area" localSheetId="6">Conso_Q150!$A$1:$M$92</definedName>
    <definedName name="_xlnm.Print_Area" localSheetId="5">Equity!$A$1:$G$42</definedName>
    <definedName name="_xlnm.Print_Area" localSheetId="1">'PL_Q4-62'!$A$1:$L$100</definedName>
    <definedName name="_xlnm.Print_Titles" localSheetId="4">CashFlow!$1:$9</definedName>
    <definedName name="_xlnm.Print_Titles" localSheetId="6">Conso_Q150!$1:$4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6" i="50" l="1"/>
  <c r="F106" i="50"/>
  <c r="M9" i="47" l="1"/>
  <c r="T30" i="48"/>
  <c r="X30" i="48" s="1"/>
  <c r="X28" i="48"/>
  <c r="X27" i="48"/>
  <c r="N31" i="49"/>
  <c r="L29" i="58"/>
  <c r="L21" i="58"/>
  <c r="L9" i="58"/>
  <c r="H29" i="58"/>
  <c r="H21" i="58"/>
  <c r="H31" i="58" s="1"/>
  <c r="H33" i="58" s="1"/>
  <c r="H36" i="58" s="1"/>
  <c r="T31" i="49"/>
  <c r="V31" i="49" s="1"/>
  <c r="Z31" i="49" s="1"/>
  <c r="T29" i="49"/>
  <c r="V29" i="49" s="1"/>
  <c r="Z29" i="49" s="1"/>
  <c r="T28" i="49"/>
  <c r="V28" i="49" s="1"/>
  <c r="Z28" i="49" s="1"/>
  <c r="T17" i="49"/>
  <c r="V17" i="49" s="1"/>
  <c r="P18" i="49"/>
  <c r="T18" i="49" s="1"/>
  <c r="T14" i="49"/>
  <c r="V14" i="49" s="1"/>
  <c r="Z14" i="49" s="1"/>
  <c r="L31" i="58" l="1"/>
  <c r="L33" i="58" s="1"/>
  <c r="L36" i="58" s="1"/>
  <c r="L45" i="58" s="1"/>
  <c r="I11" i="47"/>
  <c r="I25" i="47" s="1"/>
  <c r="I41" i="47" s="1"/>
  <c r="I44" i="47" s="1"/>
  <c r="H45" i="58"/>
  <c r="H41" i="58"/>
  <c r="H38" i="58"/>
  <c r="N18" i="49"/>
  <c r="V18" i="49" s="1"/>
  <c r="L72" i="50"/>
  <c r="L67" i="50"/>
  <c r="H72" i="50"/>
  <c r="H67" i="50"/>
  <c r="L38" i="50"/>
  <c r="L25" i="50"/>
  <c r="L8" i="50"/>
  <c r="H38" i="50"/>
  <c r="H25" i="50"/>
  <c r="H39" i="50" l="1"/>
  <c r="L38" i="58"/>
  <c r="L41" i="58"/>
  <c r="M11" i="47"/>
  <c r="M25" i="47" s="1"/>
  <c r="M41" i="47" s="1"/>
  <c r="M44" i="47" s="1"/>
  <c r="L39" i="50"/>
  <c r="H73" i="50"/>
  <c r="L73" i="50"/>
  <c r="R35" i="49"/>
  <c r="M68" i="47"/>
  <c r="M61" i="47"/>
  <c r="I68" i="47"/>
  <c r="I61" i="47"/>
  <c r="K9" i="47"/>
  <c r="V20" i="48"/>
  <c r="V22" i="48" s="1"/>
  <c r="X16" i="48"/>
  <c r="X13" i="48"/>
  <c r="P20" i="49"/>
  <c r="J9" i="58"/>
  <c r="J61" i="58" s="1"/>
  <c r="H53" i="50"/>
  <c r="H94" i="50" s="1"/>
  <c r="L53" i="50"/>
  <c r="L94" i="50" s="1"/>
  <c r="F21" i="58"/>
  <c r="F22" i="48"/>
  <c r="P32" i="49"/>
  <c r="T32" i="49" s="1"/>
  <c r="X32" i="49"/>
  <c r="X35" i="49" s="1"/>
  <c r="F112" i="50" s="1"/>
  <c r="A50" i="50"/>
  <c r="A91" i="50" s="1"/>
  <c r="J72" i="50"/>
  <c r="F72" i="50"/>
  <c r="H33" i="48"/>
  <c r="H22" i="48"/>
  <c r="H35" i="49"/>
  <c r="H23" i="49"/>
  <c r="L61" i="58"/>
  <c r="H61" i="58"/>
  <c r="F61" i="58"/>
  <c r="H111" i="50"/>
  <c r="H113" i="50" s="1"/>
  <c r="T25" i="49"/>
  <c r="V25" i="49" s="1"/>
  <c r="Z25" i="49" s="1"/>
  <c r="X23" i="49"/>
  <c r="L23" i="49"/>
  <c r="J23" i="49"/>
  <c r="F23" i="49"/>
  <c r="D23" i="49"/>
  <c r="L74" i="58"/>
  <c r="J74" i="58"/>
  <c r="V31" i="48" s="1"/>
  <c r="H74" i="58"/>
  <c r="F74" i="58"/>
  <c r="X24" i="48"/>
  <c r="T17" i="48"/>
  <c r="R22" i="48"/>
  <c r="P22" i="48"/>
  <c r="N22" i="48"/>
  <c r="L22" i="48"/>
  <c r="J22" i="48"/>
  <c r="D22" i="48"/>
  <c r="G68" i="47"/>
  <c r="K68" i="47"/>
  <c r="J8" i="58"/>
  <c r="J60" i="58" s="1"/>
  <c r="F60" i="58"/>
  <c r="J21" i="58"/>
  <c r="J29" i="58"/>
  <c r="K61" i="47"/>
  <c r="F29" i="58"/>
  <c r="X29" i="48"/>
  <c r="R33" i="48"/>
  <c r="J108" i="50" s="1"/>
  <c r="J67" i="50"/>
  <c r="J33" i="48"/>
  <c r="F33" i="48"/>
  <c r="D33" i="48"/>
  <c r="J35" i="49"/>
  <c r="F35" i="49"/>
  <c r="L35" i="49"/>
  <c r="D35" i="49"/>
  <c r="L111" i="50"/>
  <c r="L113" i="50" s="1"/>
  <c r="G61" i="47"/>
  <c r="F80" i="58"/>
  <c r="H80" i="58"/>
  <c r="A55" i="58"/>
  <c r="A57" i="58"/>
  <c r="J80" i="58"/>
  <c r="L80" i="58"/>
  <c r="F67" i="50"/>
  <c r="T30" i="49"/>
  <c r="V30" i="49" s="1"/>
  <c r="Z30" i="49" s="1"/>
  <c r="J8" i="50"/>
  <c r="J53" i="50" s="1"/>
  <c r="J94" i="50" s="1"/>
  <c r="F53" i="50"/>
  <c r="F94" i="50" s="1"/>
  <c r="A4" i="48"/>
  <c r="J25" i="50"/>
  <c r="J38" i="50"/>
  <c r="J6" i="56"/>
  <c r="J7" i="56"/>
  <c r="J8" i="56"/>
  <c r="M8" i="56" s="1"/>
  <c r="J9" i="56"/>
  <c r="M9" i="56" s="1"/>
  <c r="H10" i="56"/>
  <c r="H19" i="56" s="1"/>
  <c r="H29" i="56" s="1"/>
  <c r="J11" i="56"/>
  <c r="M11" i="56" s="1"/>
  <c r="J12" i="56"/>
  <c r="M12" i="56" s="1"/>
  <c r="J13" i="56"/>
  <c r="M13" i="56" s="1"/>
  <c r="J14" i="56"/>
  <c r="M14" i="56" s="1"/>
  <c r="J15" i="56"/>
  <c r="M15" i="56" s="1"/>
  <c r="O15" i="56" s="1"/>
  <c r="E16" i="56"/>
  <c r="E19" i="56" s="1"/>
  <c r="E29" i="56" s="1"/>
  <c r="J16" i="56"/>
  <c r="M16" i="56" s="1"/>
  <c r="J17" i="56"/>
  <c r="M17" i="56" s="1"/>
  <c r="D18" i="56"/>
  <c r="D19" i="56" s="1"/>
  <c r="E18" i="56"/>
  <c r="F18" i="56"/>
  <c r="F19" i="56" s="1"/>
  <c r="G18" i="56"/>
  <c r="I19" i="56"/>
  <c r="J21" i="56"/>
  <c r="J22" i="56"/>
  <c r="J23" i="56"/>
  <c r="J24" i="56"/>
  <c r="M24" i="56" s="1"/>
  <c r="J25" i="56"/>
  <c r="M25" i="56" s="1"/>
  <c r="D26" i="56"/>
  <c r="J26" i="56" s="1"/>
  <c r="M26" i="56" s="1"/>
  <c r="J27" i="56"/>
  <c r="M27" i="56"/>
  <c r="E28" i="56"/>
  <c r="F28" i="56"/>
  <c r="G28" i="56"/>
  <c r="H28" i="56"/>
  <c r="I28" i="56"/>
  <c r="I29" i="56" s="1"/>
  <c r="J31" i="56"/>
  <c r="M31" i="56" s="1"/>
  <c r="J32" i="56"/>
  <c r="M32" i="56" s="1"/>
  <c r="J33" i="56"/>
  <c r="M33" i="56"/>
  <c r="J34" i="56"/>
  <c r="M34" i="56" s="1"/>
  <c r="J35" i="56"/>
  <c r="M35" i="56" s="1"/>
  <c r="E36" i="56"/>
  <c r="F36" i="56"/>
  <c r="J37" i="56"/>
  <c r="M37" i="56" s="1"/>
  <c r="D38" i="56"/>
  <c r="D40" i="56" s="1"/>
  <c r="D45" i="56" s="1"/>
  <c r="E38" i="56"/>
  <c r="E39" i="56"/>
  <c r="F39" i="56"/>
  <c r="G39" i="56"/>
  <c r="J39" i="56" s="1"/>
  <c r="H40" i="56"/>
  <c r="I40" i="56"/>
  <c r="J42" i="56"/>
  <c r="M42" i="56" s="1"/>
  <c r="J43" i="56"/>
  <c r="M43" i="56" s="1"/>
  <c r="D44" i="56"/>
  <c r="E44" i="56"/>
  <c r="F44" i="56"/>
  <c r="G44" i="56"/>
  <c r="H44" i="56"/>
  <c r="I44" i="56"/>
  <c r="J47" i="56"/>
  <c r="M47" i="56" s="1"/>
  <c r="L48" i="56"/>
  <c r="J48" i="56"/>
  <c r="D49" i="56"/>
  <c r="J49" i="56" s="1"/>
  <c r="M49" i="56" s="1"/>
  <c r="J50" i="56"/>
  <c r="M50" i="56" s="1"/>
  <c r="P50" i="56" s="1"/>
  <c r="D51" i="56"/>
  <c r="J51" i="56" s="1"/>
  <c r="L51" i="56"/>
  <c r="J54" i="56"/>
  <c r="M54" i="56" s="1"/>
  <c r="J55" i="56"/>
  <c r="M55" i="56" s="1"/>
  <c r="E58" i="56"/>
  <c r="F58" i="56"/>
  <c r="K62" i="56"/>
  <c r="L62" i="56"/>
  <c r="L63" i="56"/>
  <c r="L64" i="56"/>
  <c r="L65" i="56"/>
  <c r="J71" i="56"/>
  <c r="L71" i="56"/>
  <c r="J72" i="56"/>
  <c r="M72" i="56" s="1"/>
  <c r="J73" i="56"/>
  <c r="M73" i="56" s="1"/>
  <c r="O73" i="56" s="1"/>
  <c r="J74" i="56"/>
  <c r="M74" i="56" s="1"/>
  <c r="J75" i="56"/>
  <c r="M75" i="56" s="1"/>
  <c r="D76" i="56"/>
  <c r="E76" i="56"/>
  <c r="F76" i="56"/>
  <c r="G76" i="56"/>
  <c r="H76" i="56"/>
  <c r="I76" i="56"/>
  <c r="M77" i="56"/>
  <c r="E78" i="56"/>
  <c r="J78" i="56" s="1"/>
  <c r="F79" i="56"/>
  <c r="G79" i="56"/>
  <c r="G82" i="56" s="1"/>
  <c r="L79" i="56"/>
  <c r="J80" i="56"/>
  <c r="M80" i="56" s="1"/>
  <c r="J81" i="56"/>
  <c r="M81" i="56" s="1"/>
  <c r="D82" i="56"/>
  <c r="D84" i="56" s="1"/>
  <c r="D87" i="56" s="1"/>
  <c r="D89" i="56" s="1"/>
  <c r="D56" i="56" s="1"/>
  <c r="H82" i="56"/>
  <c r="I82" i="56"/>
  <c r="E83" i="56"/>
  <c r="M83" i="56"/>
  <c r="J85" i="56"/>
  <c r="M85" i="56" s="1"/>
  <c r="E86" i="56"/>
  <c r="J86" i="56" s="1"/>
  <c r="M86" i="56" s="1"/>
  <c r="M88" i="56"/>
  <c r="M90" i="56"/>
  <c r="M91" i="56"/>
  <c r="M92" i="56"/>
  <c r="E8" i="57"/>
  <c r="E11" i="57" s="1"/>
  <c r="F8" i="57"/>
  <c r="F11" i="57" s="1"/>
  <c r="B11" i="57"/>
  <c r="C11" i="57"/>
  <c r="D11" i="57"/>
  <c r="D12" i="57"/>
  <c r="D14" i="57" s="1"/>
  <c r="G13" i="57"/>
  <c r="B14" i="57"/>
  <c r="C14" i="57"/>
  <c r="E14" i="57"/>
  <c r="F14" i="57"/>
  <c r="G15" i="57"/>
  <c r="B16" i="57"/>
  <c r="E16" i="57"/>
  <c r="F16" i="57"/>
  <c r="C17" i="57"/>
  <c r="G17" i="57"/>
  <c r="D17" i="57"/>
  <c r="B19" i="57"/>
  <c r="C19" i="57"/>
  <c r="D19" i="57"/>
  <c r="E19" i="57"/>
  <c r="F19" i="57"/>
  <c r="B22" i="57"/>
  <c r="B23" i="57" s="1"/>
  <c r="C22" i="57"/>
  <c r="C23" i="57" s="1"/>
  <c r="D22" i="57"/>
  <c r="D23" i="57" s="1"/>
  <c r="G24" i="57"/>
  <c r="C31" i="57"/>
  <c r="D32" i="57" s="1"/>
  <c r="G35" i="57"/>
  <c r="D37" i="57"/>
  <c r="D41" i="57"/>
  <c r="A3" i="48"/>
  <c r="L33" i="48"/>
  <c r="N33" i="48"/>
  <c r="P33" i="48"/>
  <c r="F38" i="50"/>
  <c r="F25" i="50"/>
  <c r="G19" i="56"/>
  <c r="G29" i="56" s="1"/>
  <c r="L60" i="56"/>
  <c r="M21" i="56"/>
  <c r="M7" i="56"/>
  <c r="P114" i="50"/>
  <c r="T114" i="50"/>
  <c r="J44" i="56"/>
  <c r="J10" i="56"/>
  <c r="J76" i="56"/>
  <c r="E79" i="56"/>
  <c r="E82" i="56" s="1"/>
  <c r="M10" i="56"/>
  <c r="X17" i="48"/>
  <c r="P23" i="49"/>
  <c r="Z17" i="49"/>
  <c r="M6" i="56"/>
  <c r="F82" i="56"/>
  <c r="F84" i="56" s="1"/>
  <c r="F87" i="56" s="1"/>
  <c r="F89" i="56" s="1"/>
  <c r="F56" i="56" s="1"/>
  <c r="M22" i="56"/>
  <c r="L89" i="56"/>
  <c r="L56" i="56" s="1"/>
  <c r="M71" i="56"/>
  <c r="O71" i="56" s="1"/>
  <c r="J38" i="56"/>
  <c r="M38" i="56"/>
  <c r="L114" i="50" l="1"/>
  <c r="F73" i="50"/>
  <c r="J31" i="58"/>
  <c r="J33" i="58" s="1"/>
  <c r="J36" i="58" s="1"/>
  <c r="M44" i="56"/>
  <c r="M60" i="56"/>
  <c r="H45" i="56"/>
  <c r="E40" i="56"/>
  <c r="E45" i="56" s="1"/>
  <c r="H84" i="56"/>
  <c r="H87" i="56" s="1"/>
  <c r="H89" i="56" s="1"/>
  <c r="H56" i="56" s="1"/>
  <c r="H59" i="56" s="1"/>
  <c r="H65" i="56" s="1"/>
  <c r="H66" i="56" s="1"/>
  <c r="H67" i="56" s="1"/>
  <c r="F40" i="56"/>
  <c r="F45" i="56" s="1"/>
  <c r="J28" i="56"/>
  <c r="J73" i="50"/>
  <c r="T20" i="48"/>
  <c r="X20" i="48" s="1"/>
  <c r="F31" i="58"/>
  <c r="F33" i="58" s="1"/>
  <c r="G11" i="47" s="1"/>
  <c r="G25" i="47" s="1"/>
  <c r="G41" i="47" s="1"/>
  <c r="G44" i="47" s="1"/>
  <c r="G70" i="47" s="1"/>
  <c r="G72" i="47" s="1"/>
  <c r="G95" i="47" s="1"/>
  <c r="P35" i="49"/>
  <c r="AB25" i="49"/>
  <c r="F39" i="50"/>
  <c r="J39" i="50"/>
  <c r="L133" i="50"/>
  <c r="T35" i="49"/>
  <c r="F110" i="50" s="1"/>
  <c r="G12" i="57"/>
  <c r="G84" i="56"/>
  <c r="G87" i="56" s="1"/>
  <c r="G89" i="56" s="1"/>
  <c r="G56" i="56" s="1"/>
  <c r="F59" i="56"/>
  <c r="F65" i="56" s="1"/>
  <c r="E84" i="56"/>
  <c r="E87" i="56" s="1"/>
  <c r="E89" i="56" s="1"/>
  <c r="E56" i="56" s="1"/>
  <c r="E59" i="56" s="1"/>
  <c r="E65" i="56" s="1"/>
  <c r="E66" i="56" s="1"/>
  <c r="E67" i="56" s="1"/>
  <c r="D28" i="56"/>
  <c r="D29" i="56" s="1"/>
  <c r="G14" i="57"/>
  <c r="H114" i="50"/>
  <c r="H133" i="50" s="1"/>
  <c r="G16" i="57"/>
  <c r="C45" i="57" s="1"/>
  <c r="J36" i="56"/>
  <c r="M36" i="56" s="1"/>
  <c r="F29" i="56"/>
  <c r="J18" i="56"/>
  <c r="M18" i="56" s="1"/>
  <c r="O18" i="56" s="1"/>
  <c r="M23" i="56"/>
  <c r="D59" i="56"/>
  <c r="D65" i="56" s="1"/>
  <c r="D66" i="56" s="1"/>
  <c r="D67" i="56" s="1"/>
  <c r="G19" i="57"/>
  <c r="E22" i="57"/>
  <c r="E23" i="57" s="1"/>
  <c r="G40" i="56"/>
  <c r="G45" i="56" s="1"/>
  <c r="I84" i="56"/>
  <c r="I87" i="56" s="1"/>
  <c r="I89" i="56" s="1"/>
  <c r="I56" i="56" s="1"/>
  <c r="I59" i="56" s="1"/>
  <c r="I65" i="56" s="1"/>
  <c r="I66" i="56" s="1"/>
  <c r="I67" i="56" s="1"/>
  <c r="I45" i="56"/>
  <c r="F108" i="50"/>
  <c r="AD35" i="49" s="1"/>
  <c r="M78" i="56"/>
  <c r="G58" i="56"/>
  <c r="V33" i="48"/>
  <c r="O74" i="56"/>
  <c r="M76" i="56"/>
  <c r="O76" i="56" s="1"/>
  <c r="M39" i="56"/>
  <c r="O39" i="56" s="1"/>
  <c r="O26" i="56"/>
  <c r="M28" i="56"/>
  <c r="M51" i="56"/>
  <c r="I70" i="47"/>
  <c r="I72" i="47" s="1"/>
  <c r="I95" i="47" s="1"/>
  <c r="J19" i="56"/>
  <c r="J29" i="56" s="1"/>
  <c r="F22" i="57"/>
  <c r="F23" i="57" s="1"/>
  <c r="J79" i="56"/>
  <c r="M79" i="56" s="1"/>
  <c r="O79" i="56" s="1"/>
  <c r="K11" i="47" l="1"/>
  <c r="K25" i="47" s="1"/>
  <c r="K41" i="47" s="1"/>
  <c r="K44" i="47" s="1"/>
  <c r="K70" i="47" s="1"/>
  <c r="K72" i="47" s="1"/>
  <c r="K95" i="47" s="1"/>
  <c r="J63" i="58"/>
  <c r="J76" i="58" s="1"/>
  <c r="J79" i="58" s="1"/>
  <c r="J81" i="58" s="1"/>
  <c r="G23" i="57"/>
  <c r="G27" i="57" s="1"/>
  <c r="G30" i="57" s="1"/>
  <c r="F66" i="56"/>
  <c r="F67" i="56" s="1"/>
  <c r="F63" i="58"/>
  <c r="F76" i="58" s="1"/>
  <c r="F79" i="58" s="1"/>
  <c r="F81" i="58" s="1"/>
  <c r="F36" i="58"/>
  <c r="N32" i="49" s="1"/>
  <c r="J40" i="56"/>
  <c r="J45" i="56" s="1"/>
  <c r="J56" i="56"/>
  <c r="M56" i="56" s="1"/>
  <c r="M19" i="56"/>
  <c r="M29" i="56" s="1"/>
  <c r="H63" i="58"/>
  <c r="H76" i="58" s="1"/>
  <c r="H79" i="58" s="1"/>
  <c r="H81" i="58" s="1"/>
  <c r="L57" i="56"/>
  <c r="L67" i="56" s="1"/>
  <c r="J58" i="56"/>
  <c r="G59" i="56"/>
  <c r="G65" i="56" s="1"/>
  <c r="G66" i="56" s="1"/>
  <c r="G67" i="56" s="1"/>
  <c r="J45" i="58"/>
  <c r="J38" i="58"/>
  <c r="J41" i="58"/>
  <c r="T31" i="48"/>
  <c r="J82" i="56"/>
  <c r="J84" i="56" s="1"/>
  <c r="M70" i="47"/>
  <c r="M72" i="47" s="1"/>
  <c r="M95" i="47" s="1"/>
  <c r="L63" i="58"/>
  <c r="L76" i="58" s="1"/>
  <c r="L79" i="58" s="1"/>
  <c r="L81" i="58" s="1"/>
  <c r="M40" i="56"/>
  <c r="M45" i="56" s="1"/>
  <c r="M82" i="56"/>
  <c r="O78" i="56"/>
  <c r="F38" i="58" l="1"/>
  <c r="F45" i="58"/>
  <c r="F41" i="58"/>
  <c r="J87" i="56"/>
  <c r="J89" i="56" s="1"/>
  <c r="M84" i="56"/>
  <c r="M87" i="56" s="1"/>
  <c r="M89" i="56" s="1"/>
  <c r="N35" i="49"/>
  <c r="V32" i="49"/>
  <c r="Y31" i="48"/>
  <c r="T33" i="48"/>
  <c r="J109" i="50" s="1"/>
  <c r="J111" i="50" s="1"/>
  <c r="J113" i="50" s="1"/>
  <c r="J114" i="50" s="1"/>
  <c r="X31" i="48"/>
  <c r="X33" i="48" s="1"/>
  <c r="M58" i="56"/>
  <c r="M59" i="56" s="1"/>
  <c r="M65" i="56" s="1"/>
  <c r="M66" i="56" s="1"/>
  <c r="M67" i="56" s="1"/>
  <c r="J59" i="56"/>
  <c r="J65" i="56" s="1"/>
  <c r="J66" i="56" s="1"/>
  <c r="J67" i="56" s="1"/>
  <c r="T18" i="48"/>
  <c r="AB18" i="49" l="1"/>
  <c r="Y33" i="48"/>
  <c r="V35" i="49"/>
  <c r="Z32" i="49"/>
  <c r="Z35" i="49" s="1"/>
  <c r="F109" i="50"/>
  <c r="F111" i="50" s="1"/>
  <c r="F113" i="50" s="1"/>
  <c r="F114" i="50" s="1"/>
  <c r="T22" i="48"/>
  <c r="X18" i="48"/>
  <c r="X22" i="48" s="1"/>
  <c r="Y22" i="48" s="1"/>
  <c r="Y18" i="48"/>
  <c r="R114" i="50"/>
  <c r="J133" i="50"/>
  <c r="AC35" i="49" l="1"/>
  <c r="AB36" i="49"/>
  <c r="AB35" i="49"/>
  <c r="F133" i="50"/>
  <c r="N114" i="50"/>
  <c r="Z18" i="49"/>
  <c r="R20" i="49"/>
  <c r="N20" i="49" s="1"/>
  <c r="N23" i="49" l="1"/>
  <c r="AC23" i="49" s="1"/>
  <c r="T20" i="49"/>
  <c r="T23" i="49" s="1"/>
  <c r="R23" i="49"/>
  <c r="V20" i="49" l="1"/>
  <c r="V23" i="49" l="1"/>
  <c r="Z20" i="49"/>
  <c r="Z23" i="49" s="1"/>
  <c r="AB23" i="4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H58" authorId="0" shapeId="0" xr:uid="{00000000-0006-0000-0500-000001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M8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 shapeId="0" xr:uid="{00000000-0006-0000-0600-000002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 xr:uid="{00000000-0006-0000-0600-000003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 xr:uid="{00000000-0006-0000-0600-000004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 shapeId="0" xr:uid="{00000000-0006-0000-0600-000005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 shapeId="0" xr:uid="{00000000-0006-0000-0600-000006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 shapeId="0" xr:uid="{00000000-0006-0000-0600-000007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 shapeId="0" xr:uid="{00000000-0006-0000-0600-000008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<sst xmlns="http://schemas.openxmlformats.org/spreadsheetml/2006/main" count="523" uniqueCount="381">
  <si>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</si>
  <si>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</si>
  <si>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</si>
  <si>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</si>
  <si>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</si>
  <si>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</si>
  <si>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</si>
  <si>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</si>
  <si>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</si>
  <si>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</si>
  <si>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</si>
  <si>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</si>
  <si>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</si>
  <si>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</si>
  <si>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</si>
  <si>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</si>
  <si>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</si>
  <si>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</si>
  <si>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</si>
  <si>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</si>
  <si>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</si>
  <si>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</si>
  <si>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</si>
  <si>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</si>
  <si>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</si>
  <si>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</si>
  <si>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</si>
  <si>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</si>
  <si>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</si>
  <si>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</si>
  <si>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</si>
  <si>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</si>
  <si>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</si>
  <si>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</si>
  <si>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</si>
  <si>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</si>
  <si>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</si>
  <si>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</si>
  <si>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</si>
  <si>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</si>
  <si>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</si>
  <si>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</si>
  <si>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</si>
  <si>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</si>
  <si>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</si>
  <si>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</si>
  <si>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</si>
  <si>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</si>
  <si>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</si>
  <si>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</si>
  <si>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</si>
  <si>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</si>
  <si>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</si>
  <si>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</si>
  <si>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</si>
  <si>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</si>
  <si>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</si>
  <si>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</si>
  <si>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</si>
  <si>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</si>
  <si>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</si>
  <si>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</si>
  <si>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</si>
  <si>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</si>
  <si>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</si>
  <si>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</si>
  <si>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</si>
  <si>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</si>
  <si>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</si>
  <si>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</si>
  <si>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</si>
  <si>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</si>
  <si>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</si>
  <si>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</si>
  <si>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</si>
  <si>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</si>
  <si>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</si>
  <si>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</si>
  <si>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</si>
  <si>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</si>
  <si>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</si>
  <si>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</si>
  <si>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</si>
  <si>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</si>
  <si>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</si>
  <si>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</si>
  <si>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</si>
  <si>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</si>
  <si>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</si>
  <si>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</si>
  <si>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</si>
  <si>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</si>
  <si>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</si>
  <si>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</si>
  <si>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</si>
  <si>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</si>
  <si>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</si>
  <si>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</si>
  <si>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</si>
  <si>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</si>
  <si>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</si>
  <si>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</si>
  <si>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</si>
  <si>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</si>
  <si>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</si>
  <si>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</si>
  <si>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</si>
  <si>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</si>
  <si>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</si>
  <si>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</si>
  <si>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</si>
  <si>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</si>
  <si>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</si>
  <si>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</si>
  <si>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</si>
  <si>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</si>
  <si>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</si>
  <si>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</si>
  <si>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</si>
  <si>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</si>
  <si>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</si>
  <si>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</si>
  <si>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</si>
  <si>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</si>
  <si>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</si>
  <si>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</si>
  <si>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</si>
  <si>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</si>
  <si>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</si>
  <si>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</si>
  <si>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</si>
  <si>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</si>
  <si>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</si>
  <si>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</si>
  <si>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</si>
  <si>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</si>
  <si>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</si>
  <si>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</si>
  <si>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</si>
  <si>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</si>
  <si>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investments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</si>
  <si>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</si>
  <si>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</si>
  <si>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</si>
  <si>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</si>
  <si>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</si>
  <si>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</si>
  <si>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</si>
  <si>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</si>
  <si>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</si>
  <si>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</si>
  <si>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</si>
  <si>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</si>
  <si>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</si>
  <si>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</si>
  <si>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</si>
  <si>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</si>
  <si>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</si>
  <si>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</si>
  <si>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</si>
  <si>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</si>
  <si>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</si>
  <si>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</si>
  <si>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</si>
  <si>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 xml:space="preserve">          Total 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</si>
  <si>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</si>
  <si>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</si>
  <si>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</si>
  <si>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</si>
  <si>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</si>
  <si>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</si>
  <si>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</si>
  <si>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</si>
  <si>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</si>
  <si>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</si>
  <si>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</si>
  <si>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</si>
  <si>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</si>
  <si>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</si>
  <si>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</si>
  <si>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</si>
  <si>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</si>
  <si>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 xml:space="preserve">             provided by (used in) Operating Activities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</si>
  <si>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</si>
  <si>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</si>
  <si>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</si>
  <si>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</si>
  <si>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</si>
  <si>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</si>
  <si>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</si>
  <si>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>Non-related companies</t>
  </si>
  <si>
    <t>Related  companies</t>
  </si>
  <si>
    <t xml:space="preserve">Others </t>
  </si>
  <si>
    <t xml:space="preserve">Investments in subsidiary companies </t>
  </si>
  <si>
    <t xml:space="preserve">    Issued and paid up</t>
  </si>
  <si>
    <t>Reversal of allowance for doubtful accounts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</si>
  <si>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</si>
  <si>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</si>
  <si>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</si>
  <si>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</si>
  <si>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</si>
  <si>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</si>
  <si>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</si>
  <si>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</si>
  <si>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provided by (used in) operating activities</t>
  </si>
  <si>
    <t>A. M. T. &amp; Associates</t>
  </si>
  <si>
    <t>Loans</t>
  </si>
  <si>
    <t>Unrealized loss (gain) in trading securities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</si>
  <si>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</si>
  <si>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</si>
  <si>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</si>
  <si>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</si>
  <si>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</si>
  <si>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</si>
  <si>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</si>
  <si>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</si>
  <si>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 xml:space="preserve">    - Non-related companies</t>
  </si>
  <si>
    <t xml:space="preserve">    - Related  companies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</si>
  <si>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</si>
  <si>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</si>
  <si>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</si>
  <si>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</si>
  <si>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</si>
  <si>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Dividend income</t>
  </si>
  <si>
    <t>เงินสดคงเหลือสิ้นงวด =</t>
  </si>
  <si>
    <t>TEST  ต้อง = 0</t>
  </si>
  <si>
    <t>Allowance for doubtful account (reversal)</t>
  </si>
  <si>
    <t>Retained earnings  (Deficit)</t>
  </si>
  <si>
    <t>Dividend received from subsidiaries</t>
  </si>
  <si>
    <t>Purchase of property, plant and equipments</t>
  </si>
  <si>
    <t>Note</t>
  </si>
  <si>
    <t>to equity holders</t>
  </si>
  <si>
    <t>of parent</t>
  </si>
  <si>
    <t>2.4</t>
  </si>
  <si>
    <t>NON-CURRENT LIABILITIES</t>
  </si>
  <si>
    <t>TOTAL NON-CURRENT LIABILITIES</t>
  </si>
  <si>
    <t>TOTAL LIABILITIES</t>
  </si>
  <si>
    <t>Services income</t>
  </si>
  <si>
    <t>Employee benefit obligation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</si>
  <si>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</si>
  <si>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</si>
  <si>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</si>
  <si>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</si>
  <si>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</si>
  <si>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</si>
  <si>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</si>
  <si>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</si>
  <si>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>Trade accounts receivable - related parties</t>
  </si>
  <si>
    <t>Trade accounts receivable - other parties</t>
  </si>
  <si>
    <t>Trade accounts payable - related parties</t>
  </si>
  <si>
    <t>Trade accounts payable - other parties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</si>
  <si>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</si>
  <si>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</si>
  <si>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</si>
  <si>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</si>
  <si>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</si>
  <si>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</si>
  <si>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</si>
  <si>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</si>
  <si>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</si>
  <si>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Short - term Investment</t>
  </si>
  <si>
    <t>Value  added tax - net</t>
  </si>
  <si>
    <t xml:space="preserve">Gain on sales of trading securities </t>
  </si>
  <si>
    <t>BASIC EARNINGS PER SHARE</t>
  </si>
  <si>
    <t>DILUTED EARNINGS PER SHARE</t>
  </si>
  <si>
    <t>Interests</t>
  </si>
  <si>
    <t>Accounts receivable - Other</t>
  </si>
  <si>
    <t>Other accounts receivable - related parties</t>
  </si>
  <si>
    <t>Other accounts receivable - other parties</t>
  </si>
  <si>
    <t>Cost of services</t>
  </si>
  <si>
    <t>4.4</t>
  </si>
  <si>
    <t>Other accounts payable - other parties</t>
  </si>
  <si>
    <t>Net cash received from operation</t>
  </si>
  <si>
    <t xml:space="preserve">attributable </t>
  </si>
  <si>
    <t xml:space="preserve">Equity </t>
  </si>
  <si>
    <t>Profit (loss) before income tax</t>
  </si>
  <si>
    <t>STATEMENTS OF CHANGES IN SHAREHOLDERS' EQUITY</t>
  </si>
  <si>
    <t>Loan to other parties, (increase) decrease</t>
  </si>
  <si>
    <t>Loan to related company, (increase) decrease</t>
  </si>
  <si>
    <t>Deferred tax assets</t>
  </si>
  <si>
    <t>Property, plant and equipment - net</t>
  </si>
  <si>
    <t>Accounts payable - Trade</t>
  </si>
  <si>
    <t>Deferred tax liabilities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</si>
  <si>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</si>
  <si>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</si>
  <si>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</si>
  <si>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</si>
  <si>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</si>
  <si>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</si>
  <si>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>Unrealized loss in trading securities</t>
  </si>
  <si>
    <t xml:space="preserve">   Appropriated to legal reserve</t>
  </si>
  <si>
    <t>Other investment, decrease(increase)</t>
  </si>
  <si>
    <t>The accompanying notes to financial statements are an integral part of these financial statements.</t>
  </si>
  <si>
    <t>Dividend paid by the Company</t>
  </si>
  <si>
    <t xml:space="preserve">   Total comprehensive income (loss) for the year</t>
  </si>
  <si>
    <t xml:space="preserve">  Cash Dividend paid</t>
  </si>
  <si>
    <t>For the years ended December 31</t>
  </si>
  <si>
    <t>Income tax expense</t>
  </si>
  <si>
    <t>Profit (loss) for the years</t>
  </si>
  <si>
    <t>Other comprehensive income (loss) for the years, net of tax</t>
  </si>
  <si>
    <t>Total comprehensive income (loss) for the years</t>
  </si>
  <si>
    <t>Income tax expense of current year</t>
  </si>
  <si>
    <t>Other components of</t>
  </si>
  <si>
    <t>Gain (loss) from estimate of</t>
  </si>
  <si>
    <t>actuarial assumptions</t>
  </si>
  <si>
    <t>Other accounts payable - related parties</t>
  </si>
  <si>
    <t>Changes in equity</t>
  </si>
  <si>
    <t xml:space="preserve">Changes in equity </t>
  </si>
  <si>
    <t xml:space="preserve">Net cash provided by (used in) investing activities </t>
  </si>
  <si>
    <t>CASH AND CASH EQUIVALENTS, BEGINNING OF YEARS</t>
  </si>
  <si>
    <t>CASH AND CASH EQUIVALENTS, END OF YEARS</t>
  </si>
  <si>
    <t>Investment Property</t>
  </si>
  <si>
    <t>Reversal of impairment on investment</t>
  </si>
  <si>
    <t>Impairment on investment (reversal)</t>
  </si>
  <si>
    <t>Ordinary shares increased - exercise of warrants</t>
  </si>
  <si>
    <t xml:space="preserve">Share capital - Baht 0.125 each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</si>
  <si>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</si>
  <si>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</si>
  <si>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</si>
  <si>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</si>
  <si>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</si>
  <si>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</si>
  <si>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</si>
  <si>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</si>
  <si>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>Loans - Long term</t>
  </si>
  <si>
    <t>Short-term loan from Financial Institution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</si>
  <si>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</si>
  <si>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</si>
  <si>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</si>
  <si>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</si>
  <si>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</si>
  <si>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 xml:space="preserve">   Transfer gain(loss) from estimate of acturial</t>
  </si>
  <si>
    <t xml:space="preserve">    - assumptions to retained earnings</t>
  </si>
  <si>
    <t>Short-term loan from financial institution, (increase) decrease</t>
  </si>
  <si>
    <t>Loan from related company, (increase) decrease</t>
  </si>
  <si>
    <t>Gain (loss) from</t>
  </si>
  <si>
    <t xml:space="preserve">estimate of </t>
  </si>
  <si>
    <t>actuarial</t>
  </si>
  <si>
    <t>assumptions</t>
  </si>
  <si>
    <t xml:space="preserve">   Cash dividend paid</t>
  </si>
  <si>
    <t>Dividend received from other company</t>
  </si>
  <si>
    <t>December 31, 2018</t>
  </si>
  <si>
    <t>Beginning balance as at January 1, 2018</t>
  </si>
  <si>
    <t>Ending balance as at December 31, 2018</t>
  </si>
  <si>
    <t>Ending balance as at  December 31, 2018</t>
  </si>
  <si>
    <t>Gain on exchange rate</t>
  </si>
  <si>
    <t>Loss from sales Other Investment</t>
  </si>
  <si>
    <t>11, 12</t>
  </si>
  <si>
    <t>11</t>
  </si>
  <si>
    <t>7, 10</t>
  </si>
  <si>
    <t>AS AT DECEMBER 31, 2019</t>
  </si>
  <si>
    <t>December 31, 2019</t>
  </si>
  <si>
    <t>- Ordinary share 5,647,349,128  shares in year 2018</t>
  </si>
  <si>
    <t>- Ordinary share 5,637,604,866  shares in year 2018</t>
  </si>
  <si>
    <t>- Ordinary share 7,047,006,083  shares in year 2019</t>
  </si>
  <si>
    <t>Warrants No.5</t>
  </si>
  <si>
    <t>Share subscriptions received in advance</t>
  </si>
  <si>
    <t>FOR  THE YEAR ENDED DECEMBER 31, 2019</t>
  </si>
  <si>
    <t>Beginning balance as at January 1, 2019</t>
  </si>
  <si>
    <t>Ending balance as at December 31, 2019</t>
  </si>
  <si>
    <t xml:space="preserve">  Ordinary shares increased - exercise of warrants</t>
  </si>
  <si>
    <t xml:space="preserve">  Share subscriptions received in advance</t>
  </si>
  <si>
    <t xml:space="preserve">  Appropriated to legal reserve</t>
  </si>
  <si>
    <t>Ending balance as at  December 31, 2019</t>
  </si>
  <si>
    <t xml:space="preserve">   Ordinary shares increased - exercise of warrants</t>
  </si>
  <si>
    <t xml:space="preserve">   Share subscriptions received in advance</t>
  </si>
  <si>
    <t>- Ordinary share 5,639,622,183  shares in year 2019</t>
  </si>
  <si>
    <t>Gain on change of investment</t>
  </si>
  <si>
    <t>OPERATING AND INVESTMENT  ACTIVITIES NOT AFFECTING CASH</t>
  </si>
  <si>
    <t>Decrease in other accounts receivable - other parties</t>
  </si>
  <si>
    <t>Decrease in loan to other parties</t>
  </si>
  <si>
    <t>Increase in other investment</t>
  </si>
  <si>
    <t>9</t>
  </si>
  <si>
    <t>10</t>
  </si>
  <si>
    <t>Other accounts payable - Non-related companies</t>
  </si>
  <si>
    <t>Loans - Related  companies</t>
  </si>
  <si>
    <t>Loss (gain) on change of investment</t>
  </si>
  <si>
    <t>4.3 , 9</t>
  </si>
  <si>
    <t>4.3</t>
  </si>
  <si>
    <t>Decrease in other investment</t>
  </si>
  <si>
    <t>Increase in Short - term Investment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</si>
</sst>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  <numFmt numFmtId="176" formatCode="_(* #,##0.000_);_(* \(#,##0.000\);_(* &quot;-&quot;??_);_(@_)"/>
  </numFmts>
  <fonts count="30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b/>
      <sz val="13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</cellStyleXfs>
  <cellXfs count="293">
    <xf numFmtId="0" fontId="0" fillId="0" borderId="0" xfId="0"/>
    <xf numFmtId="166" fontId="2" fillId="0" borderId="0" xfId="0" applyNumberFormat="1" applyFont="1" applyFill="1" applyBorder="1"/>
    <xf numFmtId="166" fontId="2" fillId="0" borderId="0" xfId="1" applyNumberFormat="1" applyFont="1" applyFill="1" applyBorder="1"/>
    <xf numFmtId="0" fontId="2" fillId="0" borderId="0" xfId="0" applyFont="1" applyFill="1" applyBorder="1"/>
    <xf numFmtId="43" fontId="2" fillId="0" borderId="0" xfId="1" applyFont="1" applyFill="1"/>
    <xf numFmtId="0" fontId="2" fillId="0" borderId="0" xfId="0" applyFont="1" applyFill="1"/>
    <xf numFmtId="166" fontId="2" fillId="0" borderId="0" xfId="1" applyNumberFormat="1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43" fontId="2" fillId="0" borderId="0" xfId="1" applyFont="1" applyFill="1" applyBorder="1"/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/>
    </xf>
    <xf numFmtId="43" fontId="3" fillId="0" borderId="0" xfId="1" applyFont="1" applyFill="1"/>
    <xf numFmtId="167" fontId="3" fillId="0" borderId="0" xfId="0" applyNumberFormat="1" applyFont="1" applyFill="1"/>
    <xf numFmtId="166" fontId="3" fillId="0" borderId="3" xfId="1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/>
    <xf numFmtId="0" fontId="3" fillId="0" borderId="0" xfId="0" applyFont="1" applyFill="1" applyBorder="1"/>
    <xf numFmtId="166" fontId="3" fillId="0" borderId="0" xfId="0" applyNumberFormat="1" applyFont="1" applyFill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167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/>
    <xf numFmtId="167" fontId="3" fillId="0" borderId="0" xfId="0" applyNumberFormat="1" applyFont="1" applyFill="1" applyBorder="1"/>
    <xf numFmtId="0" fontId="4" fillId="0" borderId="0" xfId="0" quotePrefix="1" applyFont="1" applyFill="1"/>
    <xf numFmtId="0" fontId="6" fillId="0" borderId="0" xfId="0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0" xfId="0" quotePrefix="1" applyFont="1" applyFill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Fill="1" applyBorder="1"/>
    <xf numFmtId="166" fontId="2" fillId="0" borderId="0" xfId="0" applyNumberFormat="1" applyFont="1" applyFill="1"/>
    <xf numFmtId="166" fontId="6" fillId="0" borderId="5" xfId="0" applyNumberFormat="1" applyFont="1" applyFill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 applyFill="1" applyBorder="1"/>
    <xf numFmtId="167" fontId="2" fillId="0" borderId="0" xfId="0" applyNumberFormat="1" applyFont="1" applyFill="1"/>
    <xf numFmtId="167" fontId="6" fillId="0" borderId="5" xfId="0" applyNumberFormat="1" applyFont="1" applyFill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7" fontId="2" fillId="0" borderId="0" xfId="0" quotePrefix="1" applyNumberFormat="1" applyFont="1" applyFill="1" applyBorder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Fill="1" applyBorder="1"/>
    <xf numFmtId="167" fontId="2" fillId="0" borderId="7" xfId="0" applyNumberFormat="1" applyFont="1" applyFill="1" applyBorder="1"/>
    <xf numFmtId="166" fontId="2" fillId="6" borderId="0" xfId="0" applyNumberFormat="1" applyFont="1" applyFill="1"/>
    <xf numFmtId="166" fontId="2" fillId="0" borderId="1" xfId="0" applyNumberFormat="1" applyFont="1" applyFill="1" applyBorder="1"/>
    <xf numFmtId="166" fontId="2" fillId="0" borderId="8" xfId="0" applyNumberFormat="1" applyFont="1" applyFill="1" applyBorder="1"/>
    <xf numFmtId="167" fontId="2" fillId="0" borderId="9" xfId="0" quotePrefix="1" applyNumberFormat="1" applyFont="1" applyFill="1" applyBorder="1"/>
    <xf numFmtId="167" fontId="2" fillId="0" borderId="7" xfId="0" quotePrefix="1" applyNumberFormat="1" applyFont="1" applyFill="1" applyBorder="1"/>
    <xf numFmtId="166" fontId="2" fillId="0" borderId="10" xfId="0" applyNumberFormat="1" applyFont="1" applyFill="1" applyBorder="1"/>
    <xf numFmtId="166" fontId="2" fillId="6" borderId="0" xfId="1" applyNumberFormat="1" applyFont="1" applyFill="1"/>
    <xf numFmtId="166" fontId="2" fillId="6" borderId="0" xfId="0" applyNumberFormat="1" applyFont="1" applyFill="1" applyBorder="1"/>
    <xf numFmtId="166" fontId="2" fillId="6" borderId="0" xfId="1" applyNumberFormat="1" applyFont="1" applyFill="1" applyBorder="1"/>
    <xf numFmtId="167" fontId="2" fillId="0" borderId="11" xfId="0" quotePrefix="1" applyNumberFormat="1" applyFont="1" applyFill="1" applyBorder="1"/>
    <xf numFmtId="166" fontId="2" fillId="0" borderId="12" xfId="0" applyNumberFormat="1" applyFont="1" applyFill="1" applyBorder="1"/>
    <xf numFmtId="166" fontId="2" fillId="0" borderId="3" xfId="0" applyNumberFormat="1" applyFont="1" applyFill="1" applyBorder="1"/>
    <xf numFmtId="166" fontId="2" fillId="0" borderId="4" xfId="0" applyNumberFormat="1" applyFont="1" applyFill="1" applyBorder="1"/>
    <xf numFmtId="164" fontId="2" fillId="0" borderId="0" xfId="0" applyNumberFormat="1" applyFont="1" applyFill="1"/>
    <xf numFmtId="166" fontId="6" fillId="0" borderId="0" xfId="1" applyNumberFormat="1" applyFont="1" applyFill="1" applyBorder="1" applyAlignment="1">
      <alignment horizontal="center"/>
    </xf>
    <xf numFmtId="166" fontId="2" fillId="7" borderId="0" xfId="0" applyNumberFormat="1" applyFont="1" applyFill="1" applyBorder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0" fontId="15" fillId="0" borderId="0" xfId="0" applyFont="1" applyFill="1" applyAlignment="1">
      <alignment horizontal="center"/>
    </xf>
    <xf numFmtId="0" fontId="15" fillId="0" borderId="0" xfId="0" applyFont="1" applyFill="1"/>
    <xf numFmtId="0" fontId="15" fillId="0" borderId="0" xfId="0" applyFont="1" applyFill="1" applyBorder="1" applyAlignment="1">
      <alignment horizontal="center"/>
    </xf>
    <xf numFmtId="166" fontId="16" fillId="0" borderId="0" xfId="0" applyNumberFormat="1" applyFont="1" applyFill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Border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Fill="1" applyBorder="1" applyAlignment="1">
      <alignment horizontal="center"/>
    </xf>
    <xf numFmtId="166" fontId="18" fillId="0" borderId="0" xfId="0" applyNumberFormat="1" applyFont="1" applyFill="1"/>
    <xf numFmtId="167" fontId="18" fillId="0" borderId="0" xfId="0" applyNumberFormat="1" applyFont="1" applyFill="1"/>
    <xf numFmtId="0" fontId="18" fillId="0" borderId="0" xfId="0" applyFont="1" applyFill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Fill="1" applyBorder="1"/>
    <xf numFmtId="166" fontId="18" fillId="0" borderId="5" xfId="1" applyNumberFormat="1" applyFont="1" applyFill="1" applyBorder="1"/>
    <xf numFmtId="167" fontId="18" fillId="0" borderId="5" xfId="0" applyNumberFormat="1" applyFont="1" applyFill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Fill="1" applyBorder="1" applyAlignment="1">
      <alignment horizontal="center"/>
    </xf>
    <xf numFmtId="173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/>
    <xf numFmtId="0" fontId="18" fillId="0" borderId="5" xfId="0" applyFont="1" applyFill="1" applyBorder="1"/>
    <xf numFmtId="167" fontId="18" fillId="0" borderId="0" xfId="0" quotePrefix="1" applyNumberFormat="1" applyFont="1" applyFill="1" applyBorder="1"/>
    <xf numFmtId="166" fontId="18" fillId="0" borderId="9" xfId="1" applyNumberFormat="1" applyFont="1" applyFill="1" applyBorder="1"/>
    <xf numFmtId="166" fontId="18" fillId="0" borderId="13" xfId="0" applyNumberFormat="1" applyFont="1" applyFill="1" applyBorder="1"/>
    <xf numFmtId="166" fontId="18" fillId="0" borderId="13" xfId="1" applyNumberFormat="1" applyFont="1" applyFill="1" applyBorder="1"/>
    <xf numFmtId="166" fontId="18" fillId="0" borderId="6" xfId="0" applyNumberFormat="1" applyFont="1" applyFill="1" applyBorder="1"/>
    <xf numFmtId="167" fontId="18" fillId="0" borderId="0" xfId="0" applyNumberFormat="1" applyFont="1" applyFill="1" applyBorder="1"/>
    <xf numFmtId="0" fontId="18" fillId="0" borderId="10" xfId="0" applyFont="1" applyFill="1" applyBorder="1"/>
    <xf numFmtId="166" fontId="18" fillId="0" borderId="7" xfId="1" applyNumberFormat="1" applyFont="1" applyFill="1" applyBorder="1"/>
    <xf numFmtId="166" fontId="18" fillId="0" borderId="10" xfId="0" applyNumberFormat="1" applyFont="1" applyFill="1" applyBorder="1"/>
    <xf numFmtId="0" fontId="18" fillId="0" borderId="1" xfId="0" applyFont="1" applyFill="1" applyBorder="1"/>
    <xf numFmtId="166" fontId="18" fillId="0" borderId="3" xfId="1" applyNumberFormat="1" applyFont="1" applyFill="1" applyBorder="1"/>
    <xf numFmtId="0" fontId="19" fillId="0" borderId="0" xfId="0" applyFont="1" applyFill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 applyFill="1" applyBorder="1"/>
    <xf numFmtId="0" fontId="18" fillId="0" borderId="0" xfId="0" applyFont="1" applyFill="1" applyBorder="1"/>
    <xf numFmtId="167" fontId="18" fillId="0" borderId="0" xfId="1" applyNumberFormat="1" applyFont="1" applyFill="1" applyBorder="1"/>
    <xf numFmtId="0" fontId="18" fillId="0" borderId="0" xfId="0" quotePrefix="1" applyFont="1" applyFill="1" applyBorder="1"/>
    <xf numFmtId="0" fontId="21" fillId="0" borderId="0" xfId="0" quotePrefix="1" applyFont="1" applyFill="1" applyBorder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Fill="1" applyBorder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0" fontId="2" fillId="0" borderId="5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38" fontId="3" fillId="0" borderId="0" xfId="0" applyNumberFormat="1" applyFont="1" applyFill="1" applyAlignment="1"/>
    <xf numFmtId="166" fontId="17" fillId="0" borderId="0" xfId="0" applyNumberFormat="1" applyFont="1" applyFill="1" applyAlignment="1">
      <alignment horizontal="center"/>
    </xf>
    <xf numFmtId="38" fontId="3" fillId="0" borderId="0" xfId="0" applyNumberFormat="1" applyFont="1" applyFill="1"/>
    <xf numFmtId="43" fontId="7" fillId="0" borderId="0" xfId="1" applyFont="1" applyFill="1"/>
    <xf numFmtId="43" fontId="7" fillId="0" borderId="0" xfId="1" applyFont="1" applyFill="1" applyBorder="1"/>
    <xf numFmtId="166" fontId="7" fillId="0" borderId="0" xfId="0" applyNumberFormat="1" applyFont="1" applyFill="1"/>
    <xf numFmtId="167" fontId="17" fillId="0" borderId="0" xfId="0" applyNumberFormat="1" applyFont="1" applyFill="1"/>
    <xf numFmtId="166" fontId="22" fillId="0" borderId="0" xfId="0" applyNumberFormat="1" applyFont="1" applyFill="1" applyAlignment="1">
      <alignment horizontal="center"/>
    </xf>
    <xf numFmtId="0" fontId="23" fillId="0" borderId="0" xfId="0" applyFont="1" applyFill="1"/>
    <xf numFmtId="166" fontId="18" fillId="0" borderId="0" xfId="0" applyNumberFormat="1" applyFont="1" applyFill="1" applyAlignment="1">
      <alignment horizontal="center"/>
    </xf>
    <xf numFmtId="43" fontId="18" fillId="0" borderId="0" xfId="1" applyFont="1" applyFill="1" applyBorder="1"/>
    <xf numFmtId="167" fontId="22" fillId="0" borderId="0" xfId="0" applyNumberFormat="1" applyFont="1" applyFill="1"/>
    <xf numFmtId="43" fontId="18" fillId="0" borderId="5" xfId="1" applyFont="1" applyFill="1" applyBorder="1" applyAlignment="1">
      <alignment horizontal="center"/>
    </xf>
    <xf numFmtId="166" fontId="18" fillId="0" borderId="0" xfId="0" applyNumberFormat="1" applyFont="1" applyFill="1" applyAlignment="1">
      <alignment horizontal="left"/>
    </xf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0" fontId="18" fillId="0" borderId="0" xfId="0" applyFont="1" applyFill="1" applyBorder="1" applyAlignment="1"/>
    <xf numFmtId="0" fontId="23" fillId="0" borderId="0" xfId="0" applyFont="1" applyFill="1" applyBorder="1"/>
    <xf numFmtId="43" fontId="23" fillId="0" borderId="0" xfId="1" applyFont="1" applyFill="1" applyBorder="1"/>
    <xf numFmtId="0" fontId="2" fillId="0" borderId="3" xfId="0" quotePrefix="1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167" fontId="7" fillId="0" borderId="0" xfId="0" applyNumberFormat="1" applyFont="1" applyFill="1"/>
    <xf numFmtId="0" fontId="7" fillId="0" borderId="0" xfId="0" applyFont="1" applyFill="1"/>
    <xf numFmtId="166" fontId="3" fillId="0" borderId="13" xfId="0" applyNumberFormat="1" applyFont="1" applyFill="1" applyBorder="1" applyAlignment="1">
      <alignment horizontal="center"/>
    </xf>
    <xf numFmtId="0" fontId="16" fillId="0" borderId="0" xfId="0" applyNumberFormat="1" applyFont="1" applyFill="1" applyAlignment="1">
      <alignment horizontal="center"/>
    </xf>
    <xf numFmtId="174" fontId="16" fillId="0" borderId="0" xfId="1" applyNumberFormat="1" applyFont="1" applyFill="1" applyBorder="1"/>
    <xf numFmtId="167" fontId="16" fillId="0" borderId="0" xfId="0" applyNumberFormat="1" applyFont="1" applyFill="1" applyBorder="1"/>
    <xf numFmtId="0" fontId="25" fillId="0" borderId="5" xfId="0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166" fontId="16" fillId="0" borderId="13" xfId="0" applyNumberFormat="1" applyFont="1" applyFill="1" applyBorder="1" applyAlignment="1">
      <alignment horizontal="center"/>
    </xf>
    <xf numFmtId="175" fontId="18" fillId="0" borderId="0" xfId="1" applyNumberFormat="1" applyFont="1" applyFill="1" applyBorder="1"/>
    <xf numFmtId="0" fontId="18" fillId="0" borderId="0" xfId="1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0" xfId="0" applyNumberFormat="1" applyFont="1" applyFill="1" applyAlignment="1"/>
    <xf numFmtId="43" fontId="2" fillId="0" borderId="0" xfId="0" applyNumberFormat="1" applyFont="1" applyFill="1" applyBorder="1"/>
    <xf numFmtId="43" fontId="3" fillId="0" borderId="0" xfId="0" applyNumberFormat="1" applyFont="1" applyFill="1"/>
    <xf numFmtId="0" fontId="26" fillId="0" borderId="0" xfId="0" applyFont="1" applyFill="1" applyAlignment="1">
      <alignment horizontal="center"/>
    </xf>
    <xf numFmtId="43" fontId="3" fillId="0" borderId="5" xfId="1" applyNumberFormat="1" applyFont="1" applyFill="1" applyBorder="1"/>
    <xf numFmtId="43" fontId="3" fillId="0" borderId="0" xfId="0" applyNumberFormat="1" applyFont="1" applyFill="1" applyAlignment="1">
      <alignment horizontal="right"/>
    </xf>
    <xf numFmtId="43" fontId="3" fillId="0" borderId="0" xfId="1" applyNumberFormat="1" applyFont="1" applyFill="1"/>
    <xf numFmtId="43" fontId="3" fillId="0" borderId="0" xfId="1" applyNumberFormat="1" applyFont="1" applyFill="1" applyBorder="1"/>
    <xf numFmtId="43" fontId="3" fillId="0" borderId="13" xfId="1" applyNumberFormat="1" applyFont="1" applyFill="1" applyBorder="1"/>
    <xf numFmtId="43" fontId="3" fillId="0" borderId="3" xfId="1" applyNumberFormat="1" applyFont="1" applyFill="1" applyBorder="1"/>
    <xf numFmtId="43" fontId="7" fillId="0" borderId="0" xfId="1" applyNumberFormat="1" applyFont="1" applyFill="1" applyBorder="1"/>
    <xf numFmtId="43" fontId="3" fillId="0" borderId="0" xfId="0" applyNumberFormat="1" applyFont="1" applyFill="1" applyBorder="1"/>
    <xf numFmtId="43" fontId="3" fillId="0" borderId="0" xfId="1" applyNumberFormat="1" applyFont="1" applyFill="1" applyAlignment="1">
      <alignment horizontal="right"/>
    </xf>
    <xf numFmtId="43" fontId="3" fillId="0" borderId="4" xfId="1" applyNumberFormat="1" applyFont="1" applyFill="1" applyBorder="1"/>
    <xf numFmtId="43" fontId="18" fillId="0" borderId="0" xfId="1" applyNumberFormat="1" applyFont="1" applyFill="1" applyBorder="1"/>
    <xf numFmtId="43" fontId="18" fillId="0" borderId="0" xfId="1" applyNumberFormat="1" applyFont="1" applyFill="1"/>
    <xf numFmtId="43" fontId="18" fillId="0" borderId="5" xfId="1" applyNumberFormat="1" applyFont="1" applyFill="1" applyBorder="1"/>
    <xf numFmtId="43" fontId="18" fillId="0" borderId="14" xfId="1" applyNumberFormat="1" applyFont="1" applyFill="1" applyBorder="1"/>
    <xf numFmtId="43" fontId="18" fillId="0" borderId="0" xfId="0" applyNumberFormat="1" applyFont="1" applyFill="1"/>
    <xf numFmtId="43" fontId="3" fillId="0" borderId="0" xfId="1" applyNumberFormat="1" applyFont="1" applyFill="1" applyBorder="1" applyAlignment="1">
      <alignment horizontal="center"/>
    </xf>
    <xf numFmtId="43" fontId="6" fillId="0" borderId="0" xfId="1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43" fontId="3" fillId="0" borderId="14" xfId="1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2" fillId="0" borderId="0" xfId="1" applyNumberFormat="1" applyFont="1" applyFill="1"/>
    <xf numFmtId="43" fontId="3" fillId="0" borderId="0" xfId="0" applyNumberFormat="1" applyFont="1" applyFill="1" applyBorder="1" applyAlignment="1">
      <alignment horizontal="right"/>
    </xf>
    <xf numFmtId="43" fontId="3" fillId="0" borderId="5" xfId="0" applyNumberFormat="1" applyFont="1" applyFill="1" applyBorder="1" applyAlignment="1">
      <alignment horizontal="right"/>
    </xf>
    <xf numFmtId="43" fontId="2" fillId="0" borderId="0" xfId="0" applyNumberFormat="1" applyFont="1" applyFill="1" applyAlignment="1">
      <alignment horizontal="center"/>
    </xf>
    <xf numFmtId="43" fontId="2" fillId="0" borderId="0" xfId="0" applyNumberFormat="1" applyFont="1" applyFill="1"/>
    <xf numFmtId="43" fontId="3" fillId="0" borderId="5" xfId="1" applyNumberFormat="1" applyFont="1" applyFill="1" applyBorder="1" applyAlignment="1">
      <alignment horizontal="right"/>
    </xf>
    <xf numFmtId="43" fontId="3" fillId="0" borderId="4" xfId="0" applyNumberFormat="1" applyFont="1" applyFill="1" applyBorder="1" applyAlignment="1">
      <alignment horizontal="right"/>
    </xf>
    <xf numFmtId="43" fontId="16" fillId="0" borderId="0" xfId="1" applyNumberFormat="1" applyFont="1" applyFill="1" applyBorder="1"/>
    <xf numFmtId="43" fontId="16" fillId="0" borderId="0" xfId="1" applyNumberFormat="1" applyFont="1" applyFill="1"/>
    <xf numFmtId="43" fontId="3" fillId="0" borderId="3" xfId="1" applyNumberFormat="1" applyFont="1" applyFill="1" applyBorder="1" applyAlignment="1">
      <alignment horizontal="right"/>
    </xf>
    <xf numFmtId="43" fontId="16" fillId="0" borderId="0" xfId="0" applyNumberFormat="1" applyFont="1" applyFill="1" applyBorder="1"/>
    <xf numFmtId="43" fontId="3" fillId="0" borderId="0" xfId="1" applyNumberFormat="1" applyFont="1" applyFill="1" applyBorder="1" applyAlignment="1">
      <alignment horizontal="right"/>
    </xf>
    <xf numFmtId="43" fontId="3" fillId="0" borderId="4" xfId="1" applyNumberFormat="1" applyFont="1" applyFill="1" applyBorder="1" applyAlignment="1">
      <alignment horizontal="right"/>
    </xf>
    <xf numFmtId="0" fontId="2" fillId="0" borderId="0" xfId="0" quotePrefix="1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165" fontId="3" fillId="0" borderId="15" xfId="1" applyNumberFormat="1" applyFont="1" applyFill="1" applyBorder="1"/>
    <xf numFmtId="165" fontId="2" fillId="0" borderId="0" xfId="0" applyNumberFormat="1" applyFont="1" applyFill="1"/>
    <xf numFmtId="165" fontId="3" fillId="0" borderId="0" xfId="0" applyNumberFormat="1" applyFont="1" applyFill="1"/>
    <xf numFmtId="165" fontId="3" fillId="0" borderId="15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15" fillId="0" borderId="5" xfId="0" applyNumberFormat="1" applyFont="1" applyFill="1" applyBorder="1" applyAlignment="1">
      <alignment horizontal="center"/>
    </xf>
    <xf numFmtId="0" fontId="25" fillId="0" borderId="5" xfId="0" applyNumberFormat="1" applyFont="1" applyFill="1" applyBorder="1" applyAlignment="1">
      <alignment horizontal="center"/>
    </xf>
    <xf numFmtId="166" fontId="3" fillId="0" borderId="0" xfId="0" applyNumberFormat="1" applyFont="1" applyFill="1" applyAlignment="1">
      <alignment horizontal="center"/>
    </xf>
    <xf numFmtId="43" fontId="3" fillId="0" borderId="14" xfId="0" applyNumberFormat="1" applyFont="1" applyFill="1" applyBorder="1" applyAlignment="1">
      <alignment horizontal="right"/>
    </xf>
    <xf numFmtId="0" fontId="18" fillId="0" borderId="5" xfId="0" applyFont="1" applyFill="1" applyBorder="1" applyAlignment="1">
      <alignment horizontal="center"/>
    </xf>
    <xf numFmtId="166" fontId="25" fillId="0" borderId="0" xfId="0" applyNumberFormat="1" applyFont="1" applyFill="1" applyAlignment="1">
      <alignment horizontal="center"/>
    </xf>
    <xf numFmtId="166" fontId="25" fillId="0" borderId="0" xfId="0" applyNumberFormat="1" applyFont="1" applyFill="1"/>
    <xf numFmtId="166" fontId="27" fillId="0" borderId="0" xfId="0" applyNumberFormat="1" applyFont="1" applyFill="1"/>
    <xf numFmtId="166" fontId="3" fillId="0" borderId="0" xfId="0" applyNumberFormat="1" applyFont="1" applyFill="1" applyBorder="1"/>
    <xf numFmtId="0" fontId="3" fillId="0" borderId="0" xfId="0" applyFont="1" applyFill="1" applyAlignment="1" applyProtection="1">
      <alignment horizontal="left"/>
    </xf>
    <xf numFmtId="166" fontId="28" fillId="0" borderId="0" xfId="0" applyNumberFormat="1" applyFont="1" applyFill="1"/>
    <xf numFmtId="0" fontId="18" fillId="0" borderId="0" xfId="0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center"/>
    </xf>
    <xf numFmtId="166" fontId="3" fillId="8" borderId="0" xfId="0" applyNumberFormat="1" applyFont="1" applyFill="1"/>
    <xf numFmtId="0" fontId="29" fillId="0" borderId="0" xfId="0" applyFont="1" applyFill="1"/>
    <xf numFmtId="0" fontId="25" fillId="0" borderId="0" xfId="0" applyFont="1" applyFill="1" applyBorder="1" applyAlignment="1">
      <alignment horizontal="center"/>
    </xf>
    <xf numFmtId="43" fontId="25" fillId="0" borderId="0" xfId="1" applyFont="1" applyFill="1" applyAlignment="1">
      <alignment horizontal="center"/>
    </xf>
    <xf numFmtId="43" fontId="25" fillId="0" borderId="0" xfId="1" applyFont="1" applyFill="1"/>
    <xf numFmtId="0" fontId="25" fillId="0" borderId="0" xfId="0" applyFont="1" applyFill="1"/>
    <xf numFmtId="0" fontId="25" fillId="0" borderId="0" xfId="0" applyFont="1" applyFill="1" applyBorder="1" applyAlignment="1"/>
    <xf numFmtId="43" fontId="18" fillId="0" borderId="14" xfId="1" applyFont="1" applyFill="1" applyBorder="1"/>
    <xf numFmtId="176" fontId="3" fillId="0" borderId="14" xfId="1" applyNumberFormat="1" applyFont="1" applyFill="1" applyBorder="1"/>
    <xf numFmtId="176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/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Border="1" applyAlignment="1">
      <alignment horizontal="center"/>
    </xf>
    <xf numFmtId="167" fontId="3" fillId="0" borderId="0" xfId="9" applyNumberFormat="1" applyFont="1" applyFill="1"/>
    <xf numFmtId="166" fontId="3" fillId="0" borderId="0" xfId="9" applyNumberFormat="1" applyFont="1" applyFill="1"/>
    <xf numFmtId="166" fontId="15" fillId="0" borderId="3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2" fillId="0" borderId="5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 wrapText="1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22" fillId="0" borderId="0" xfId="0" applyNumberFormat="1" applyFont="1" applyFill="1" applyAlignment="1">
      <alignment horizontal="right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167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5" fillId="0" borderId="5" xfId="0" applyNumberFormat="1" applyFont="1" applyFill="1" applyBorder="1" applyAlignment="1">
      <alignment horizontal="center"/>
    </xf>
    <xf numFmtId="166" fontId="18" fillId="0" borderId="5" xfId="0" applyNumberFormat="1" applyFont="1" applyFill="1" applyBorder="1" applyAlignment="1">
      <alignment horizont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1:T133"/>
  <sheetViews>
    <sheetView tabSelected="1" view="pageBreakPreview" zoomScaleNormal="100" zoomScaleSheetLayoutView="100" workbookViewId="0">
      <selection activeCell="C12" sqref="C12"/>
    </sheetView>
  </sheetViews>
  <sheetFormatPr defaultRowHeight="18" x14ac:dyDescent="0.4"/>
  <cols>
    <col min="1" max="2" width="2.7109375" style="5" customWidth="1"/>
    <col min="3" max="3" width="33.8554687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71093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7109375" style="6" customWidth="1"/>
    <col min="12" max="12" width="13.5703125" style="6" customWidth="1"/>
    <col min="13" max="13" width="2.7109375" style="3" customWidth="1"/>
    <col min="14" max="14" width="15.7109375" style="5" hidden="1" customWidth="1"/>
    <col min="15" max="15" width="2.7109375" style="5" hidden="1" customWidth="1"/>
    <col min="16" max="16" width="13.85546875" style="5" hidden="1" customWidth="1"/>
    <col min="17" max="17" width="2.7109375" style="5" hidden="1" customWidth="1"/>
    <col min="18" max="18" width="14.5703125" style="5" hidden="1" customWidth="1"/>
    <col min="19" max="19" width="5" style="5" hidden="1" customWidth="1"/>
    <col min="20" max="20" width="0" style="5" hidden="1" customWidth="1"/>
    <col min="21" max="16384" width="9.140625" style="5"/>
  </cols>
  <sheetData>
    <row r="1" spans="1:17" x14ac:dyDescent="0.4">
      <c r="A1" s="5" t="s">
        <v>205</v>
      </c>
    </row>
    <row r="3" spans="1:17" x14ac:dyDescent="0.4">
      <c r="A3" s="278" t="s">
        <v>131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8"/>
    </row>
    <row r="4" spans="1:17" x14ac:dyDescent="0.4">
      <c r="A4" s="275" t="s">
        <v>252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</row>
    <row r="5" spans="1:17" s="33" customFormat="1" x14ac:dyDescent="0.4">
      <c r="A5" s="275" t="s">
        <v>350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</row>
    <row r="6" spans="1:17" x14ac:dyDescent="0.4">
      <c r="A6" s="12"/>
      <c r="B6" s="12"/>
      <c r="C6" s="12"/>
      <c r="F6" s="276" t="s">
        <v>132</v>
      </c>
      <c r="G6" s="276"/>
      <c r="H6" s="276"/>
      <c r="I6" s="276"/>
      <c r="J6" s="276"/>
      <c r="K6" s="276"/>
      <c r="L6" s="276"/>
    </row>
    <row r="7" spans="1:17" ht="18.75" x14ac:dyDescent="0.4">
      <c r="A7" s="11"/>
      <c r="B7" s="11"/>
      <c r="C7" s="11"/>
      <c r="F7" s="273" t="s">
        <v>210</v>
      </c>
      <c r="G7" s="273"/>
      <c r="H7" s="273"/>
      <c r="I7" s="97"/>
      <c r="J7" s="273" t="s">
        <v>211</v>
      </c>
      <c r="K7" s="273"/>
      <c r="L7" s="273"/>
    </row>
    <row r="8" spans="1:17" x14ac:dyDescent="0.4">
      <c r="A8" s="11"/>
      <c r="B8" s="11"/>
      <c r="C8" s="11"/>
      <c r="D8" s="150" t="s">
        <v>133</v>
      </c>
      <c r="E8" s="8"/>
      <c r="F8" s="177" t="s">
        <v>351</v>
      </c>
      <c r="G8" s="232"/>
      <c r="H8" s="177" t="s">
        <v>341</v>
      </c>
      <c r="J8" s="151" t="str">
        <f>F8</f>
        <v>December 31, 2019</v>
      </c>
      <c r="K8" s="233"/>
      <c r="L8" s="151" t="str">
        <f>H8</f>
        <v>December 31, 2018</v>
      </c>
    </row>
    <row r="9" spans="1:17" s="47" customFormat="1" ht="9.75" customHeight="1" x14ac:dyDescent="0.4">
      <c r="A9" s="7"/>
      <c r="B9" s="7"/>
      <c r="C9" s="7"/>
      <c r="D9" s="8"/>
      <c r="E9" s="8"/>
      <c r="F9" s="89"/>
      <c r="G9" s="153"/>
      <c r="H9" s="89"/>
      <c r="I9" s="11"/>
      <c r="J9" s="25"/>
      <c r="K9" s="25"/>
      <c r="L9" s="25"/>
      <c r="M9" s="50"/>
    </row>
    <row r="10" spans="1:17" ht="18" customHeight="1" x14ac:dyDescent="0.4">
      <c r="A10" s="277" t="s">
        <v>136</v>
      </c>
      <c r="B10" s="277"/>
      <c r="C10" s="277"/>
      <c r="D10" s="34"/>
      <c r="E10" s="34"/>
      <c r="F10" s="25"/>
      <c r="G10" s="25"/>
      <c r="H10" s="25"/>
      <c r="J10" s="5"/>
      <c r="K10" s="5"/>
      <c r="L10" s="5"/>
    </row>
    <row r="11" spans="1:17" x14ac:dyDescent="0.4">
      <c r="A11" s="11" t="s">
        <v>134</v>
      </c>
      <c r="B11" s="11"/>
      <c r="C11" s="11"/>
      <c r="D11" s="264"/>
      <c r="E11" s="264"/>
      <c r="F11" s="266"/>
      <c r="G11" s="266"/>
      <c r="H11" s="266"/>
      <c r="I11" s="11"/>
      <c r="J11" s="14"/>
      <c r="K11" s="14"/>
      <c r="L11" s="14"/>
    </row>
    <row r="12" spans="1:17" x14ac:dyDescent="0.4">
      <c r="A12" s="11"/>
      <c r="B12" s="11" t="s">
        <v>135</v>
      </c>
      <c r="C12" s="11"/>
      <c r="D12" s="264">
        <v>3</v>
      </c>
      <c r="E12" s="264"/>
      <c r="F12" s="207">
        <v>722370776.52999997</v>
      </c>
      <c r="G12" s="207"/>
      <c r="H12" s="207">
        <v>170710951.13999999</v>
      </c>
      <c r="I12" s="197"/>
      <c r="J12" s="201">
        <v>583036900.91999996</v>
      </c>
      <c r="K12" s="201"/>
      <c r="L12" s="201">
        <v>29506348</v>
      </c>
    </row>
    <row r="13" spans="1:17" x14ac:dyDescent="0.4">
      <c r="A13" s="11"/>
      <c r="B13" s="11" t="s">
        <v>260</v>
      </c>
      <c r="C13" s="11"/>
      <c r="D13" s="264">
        <v>4</v>
      </c>
      <c r="E13" s="264"/>
      <c r="F13" s="207">
        <v>1306637583.98</v>
      </c>
      <c r="G13" s="207"/>
      <c r="H13" s="207">
        <v>882381614.41999996</v>
      </c>
      <c r="I13" s="197"/>
      <c r="J13" s="201">
        <v>959840180.19000006</v>
      </c>
      <c r="K13" s="201"/>
      <c r="L13" s="201">
        <v>380587218.69</v>
      </c>
    </row>
    <row r="14" spans="1:17" x14ac:dyDescent="0.4">
      <c r="A14" s="11"/>
      <c r="B14" s="11" t="s">
        <v>221</v>
      </c>
      <c r="C14" s="11"/>
      <c r="D14" s="264"/>
      <c r="E14" s="264"/>
      <c r="F14" s="207"/>
      <c r="G14" s="207"/>
      <c r="H14" s="207"/>
      <c r="I14" s="197"/>
      <c r="J14" s="201"/>
      <c r="K14" s="201"/>
      <c r="L14" s="201"/>
    </row>
    <row r="15" spans="1:17" x14ac:dyDescent="0.4">
      <c r="A15" s="11"/>
      <c r="B15" s="11"/>
      <c r="C15" s="11" t="s">
        <v>190</v>
      </c>
      <c r="D15" s="264">
        <v>5</v>
      </c>
      <c r="E15" s="264"/>
      <c r="F15" s="207">
        <v>13078697.34</v>
      </c>
      <c r="G15" s="207"/>
      <c r="H15" s="207">
        <v>153396691.5</v>
      </c>
      <c r="I15" s="197"/>
      <c r="J15" s="201">
        <v>11313197.34</v>
      </c>
      <c r="K15" s="201"/>
      <c r="L15" s="201">
        <v>49326755.579999998</v>
      </c>
      <c r="N15" s="3"/>
      <c r="O15" s="3"/>
      <c r="P15" s="3"/>
      <c r="Q15" s="3"/>
    </row>
    <row r="16" spans="1:17" x14ac:dyDescent="0.4">
      <c r="A16" s="11"/>
      <c r="B16" s="11"/>
      <c r="C16" s="11" t="s">
        <v>191</v>
      </c>
      <c r="D16" s="264">
        <v>2.2000000000000002</v>
      </c>
      <c r="E16" s="264"/>
      <c r="F16" s="207">
        <v>18571348.120000001</v>
      </c>
      <c r="G16" s="207"/>
      <c r="H16" s="207">
        <v>8537173.5600000005</v>
      </c>
      <c r="I16" s="197"/>
      <c r="J16" s="201">
        <v>14150764.779999999</v>
      </c>
      <c r="K16" s="201"/>
      <c r="L16" s="201">
        <v>1074478.6399999999</v>
      </c>
      <c r="N16" s="3"/>
      <c r="O16" s="3"/>
      <c r="P16" s="3"/>
      <c r="Q16" s="3"/>
    </row>
    <row r="17" spans="1:17" x14ac:dyDescent="0.4">
      <c r="A17" s="11"/>
      <c r="B17" s="11" t="s">
        <v>266</v>
      </c>
      <c r="C17" s="11"/>
      <c r="D17" s="264"/>
      <c r="E17" s="264"/>
      <c r="F17" s="207"/>
      <c r="G17" s="207"/>
      <c r="H17" s="207"/>
      <c r="I17" s="197"/>
      <c r="J17" s="201"/>
      <c r="K17" s="201"/>
      <c r="L17" s="201"/>
      <c r="N17" s="3"/>
      <c r="O17" s="3"/>
      <c r="P17" s="3"/>
      <c r="Q17" s="3"/>
    </row>
    <row r="18" spans="1:17" x14ac:dyDescent="0.4">
      <c r="A18" s="11"/>
      <c r="B18" s="11"/>
      <c r="C18" s="11" t="s">
        <v>190</v>
      </c>
      <c r="D18" s="264">
        <v>6</v>
      </c>
      <c r="E18" s="264"/>
      <c r="F18" s="207">
        <v>37784511.770000003</v>
      </c>
      <c r="G18" s="207"/>
      <c r="H18" s="207">
        <v>91264662.680000007</v>
      </c>
      <c r="I18" s="197"/>
      <c r="J18" s="201">
        <v>37462417.759999998</v>
      </c>
      <c r="K18" s="201"/>
      <c r="L18" s="201">
        <v>91012094</v>
      </c>
      <c r="N18" s="3"/>
      <c r="O18" s="3"/>
      <c r="P18" s="3"/>
      <c r="Q18" s="3"/>
    </row>
    <row r="19" spans="1:17" x14ac:dyDescent="0.4">
      <c r="A19" s="11"/>
      <c r="B19" s="11"/>
      <c r="C19" s="11" t="s">
        <v>191</v>
      </c>
      <c r="D19" s="264">
        <v>2.2999999999999998</v>
      </c>
      <c r="E19" s="264"/>
      <c r="F19" s="207">
        <v>0</v>
      </c>
      <c r="G19" s="207"/>
      <c r="H19" s="207">
        <v>0</v>
      </c>
      <c r="I19" s="197"/>
      <c r="J19" s="201">
        <v>6493815.3899999997</v>
      </c>
      <c r="K19" s="201"/>
      <c r="L19" s="201">
        <v>74115423.909999996</v>
      </c>
      <c r="N19" s="3"/>
      <c r="O19" s="3"/>
      <c r="P19" s="3"/>
      <c r="Q19" s="3"/>
    </row>
    <row r="20" spans="1:17" x14ac:dyDescent="0.4">
      <c r="A20" s="11"/>
      <c r="B20" s="11" t="s">
        <v>206</v>
      </c>
      <c r="C20" s="11"/>
      <c r="D20" s="264"/>
      <c r="E20" s="264"/>
      <c r="F20" s="207"/>
      <c r="G20" s="207"/>
      <c r="H20" s="207"/>
      <c r="I20" s="201"/>
      <c r="J20" s="201"/>
      <c r="K20" s="201"/>
      <c r="L20" s="201"/>
      <c r="N20" s="3"/>
      <c r="O20" s="3"/>
      <c r="P20" s="3"/>
      <c r="Q20" s="3"/>
    </row>
    <row r="21" spans="1:17" x14ac:dyDescent="0.4">
      <c r="A21" s="11"/>
      <c r="B21" s="11"/>
      <c r="C21" s="11" t="s">
        <v>190</v>
      </c>
      <c r="D21" s="264">
        <v>7</v>
      </c>
      <c r="E21" s="264"/>
      <c r="F21" s="207">
        <v>309000000</v>
      </c>
      <c r="G21" s="207"/>
      <c r="H21" s="207">
        <v>130000000</v>
      </c>
      <c r="I21" s="201"/>
      <c r="J21" s="207">
        <v>309000000</v>
      </c>
      <c r="K21" s="207"/>
      <c r="L21" s="207">
        <v>130000000</v>
      </c>
      <c r="N21" s="3"/>
      <c r="O21" s="3"/>
      <c r="P21" s="3"/>
      <c r="Q21" s="3"/>
    </row>
    <row r="22" spans="1:17" x14ac:dyDescent="0.4">
      <c r="A22" s="11"/>
      <c r="B22" s="11"/>
      <c r="C22" s="11" t="s">
        <v>191</v>
      </c>
      <c r="D22" s="264">
        <v>2.4</v>
      </c>
      <c r="E22" s="264"/>
      <c r="F22" s="207">
        <v>0</v>
      </c>
      <c r="G22" s="207"/>
      <c r="H22" s="207">
        <v>0</v>
      </c>
      <c r="I22" s="201"/>
      <c r="J22" s="200">
        <v>489119235</v>
      </c>
      <c r="K22" s="200"/>
      <c r="L22" s="200">
        <v>85600000</v>
      </c>
      <c r="N22" s="3"/>
      <c r="O22" s="3"/>
      <c r="P22" s="3"/>
      <c r="Q22" s="3"/>
    </row>
    <row r="23" spans="1:17" x14ac:dyDescent="0.4">
      <c r="A23" s="11"/>
      <c r="B23" s="11" t="s">
        <v>137</v>
      </c>
      <c r="C23" s="11"/>
      <c r="D23" s="264"/>
      <c r="E23" s="264"/>
      <c r="F23" s="207"/>
      <c r="G23" s="207"/>
      <c r="H23" s="207"/>
      <c r="I23" s="197"/>
      <c r="J23" s="201"/>
      <c r="K23" s="201"/>
      <c r="L23" s="201"/>
      <c r="N23" s="3"/>
      <c r="O23" s="3"/>
      <c r="P23" s="3"/>
      <c r="Q23" s="3"/>
    </row>
    <row r="24" spans="1:17" x14ac:dyDescent="0.4">
      <c r="A24" s="11"/>
      <c r="B24" s="11"/>
      <c r="C24" s="11" t="s">
        <v>261</v>
      </c>
      <c r="D24" s="264"/>
      <c r="E24" s="264"/>
      <c r="F24" s="207">
        <v>14559719.699999999</v>
      </c>
      <c r="G24" s="207"/>
      <c r="H24" s="207">
        <v>10237752.789999999</v>
      </c>
      <c r="I24" s="197"/>
      <c r="J24" s="201">
        <v>12706438.98</v>
      </c>
      <c r="K24" s="201"/>
      <c r="L24" s="201">
        <v>8515422.4000000004</v>
      </c>
      <c r="N24" s="3"/>
      <c r="O24" s="3"/>
      <c r="P24" s="3"/>
      <c r="Q24" s="3"/>
    </row>
    <row r="25" spans="1:17" x14ac:dyDescent="0.4">
      <c r="A25" s="11"/>
      <c r="B25" s="11"/>
      <c r="C25" s="11" t="s">
        <v>144</v>
      </c>
      <c r="D25" s="264"/>
      <c r="E25" s="264"/>
      <c r="F25" s="204">
        <f>SUM(F12:F24)</f>
        <v>2422002637.4399996</v>
      </c>
      <c r="G25" s="202"/>
      <c r="H25" s="204">
        <f>SUM(H12:H24)</f>
        <v>1446528846.0899999</v>
      </c>
      <c r="I25" s="197"/>
      <c r="J25" s="204">
        <f>SUM(J12:J24)</f>
        <v>2423122950.3600001</v>
      </c>
      <c r="K25" s="202"/>
      <c r="L25" s="204">
        <f>SUM(L12:L24)</f>
        <v>849737741.21999991</v>
      </c>
      <c r="N25" s="3"/>
      <c r="O25" s="3"/>
      <c r="P25" s="3"/>
      <c r="Q25" s="3"/>
    </row>
    <row r="26" spans="1:17" x14ac:dyDescent="0.4">
      <c r="A26" s="11"/>
      <c r="B26" s="11"/>
      <c r="C26" s="11"/>
      <c r="D26" s="264"/>
      <c r="E26" s="264"/>
      <c r="F26" s="200"/>
      <c r="G26" s="200"/>
      <c r="H26" s="200"/>
      <c r="I26" s="197"/>
      <c r="J26" s="201"/>
      <c r="K26" s="201"/>
      <c r="L26" s="201"/>
      <c r="N26" s="3"/>
      <c r="O26" s="3"/>
      <c r="P26" s="3"/>
      <c r="Q26" s="3"/>
    </row>
    <row r="27" spans="1:17" x14ac:dyDescent="0.4">
      <c r="A27" s="11" t="s">
        <v>139</v>
      </c>
      <c r="B27" s="11"/>
      <c r="C27" s="11"/>
      <c r="D27" s="264"/>
      <c r="E27" s="264"/>
      <c r="F27" s="200"/>
      <c r="G27" s="200"/>
      <c r="H27" s="200"/>
      <c r="I27" s="197"/>
      <c r="J27" s="201"/>
      <c r="K27" s="201"/>
      <c r="L27" s="201"/>
      <c r="N27" s="3"/>
      <c r="O27" s="3"/>
      <c r="P27" s="3"/>
      <c r="Q27" s="3"/>
    </row>
    <row r="28" spans="1:17" hidden="1" x14ac:dyDescent="0.4">
      <c r="A28" s="11"/>
      <c r="B28" s="11" t="s">
        <v>215</v>
      </c>
      <c r="C28" s="11"/>
      <c r="D28" s="264"/>
      <c r="E28" s="264"/>
      <c r="F28" s="200"/>
      <c r="G28" s="200"/>
      <c r="H28" s="200"/>
      <c r="I28" s="197"/>
      <c r="J28" s="200"/>
      <c r="K28" s="200"/>
      <c r="L28" s="200"/>
      <c r="N28" s="3"/>
      <c r="O28" s="3"/>
      <c r="P28" s="3"/>
      <c r="Q28" s="3"/>
    </row>
    <row r="29" spans="1:17" x14ac:dyDescent="0.4">
      <c r="A29" s="11"/>
      <c r="B29" s="152" t="s">
        <v>193</v>
      </c>
      <c r="C29" s="11"/>
      <c r="D29" s="264">
        <v>8</v>
      </c>
      <c r="E29" s="264"/>
      <c r="F29" s="207">
        <v>0</v>
      </c>
      <c r="G29" s="207"/>
      <c r="H29" s="207">
        <v>0</v>
      </c>
      <c r="I29" s="197"/>
      <c r="J29" s="201">
        <v>58077100</v>
      </c>
      <c r="K29" s="201"/>
      <c r="L29" s="201">
        <v>58077100</v>
      </c>
      <c r="N29" s="3"/>
      <c r="O29" s="3"/>
      <c r="P29" s="3"/>
      <c r="Q29" s="3"/>
    </row>
    <row r="30" spans="1:17" x14ac:dyDescent="0.4">
      <c r="A30" s="11"/>
      <c r="B30" s="152" t="s">
        <v>140</v>
      </c>
      <c r="C30" s="11"/>
      <c r="D30" s="264">
        <v>9</v>
      </c>
      <c r="E30" s="264"/>
      <c r="F30" s="207">
        <v>441243524.52999997</v>
      </c>
      <c r="G30" s="207"/>
      <c r="H30" s="207">
        <v>485000550.13</v>
      </c>
      <c r="I30" s="197"/>
      <c r="J30" s="201">
        <v>441243013.73000002</v>
      </c>
      <c r="K30" s="201"/>
      <c r="L30" s="201">
        <v>485000000</v>
      </c>
      <c r="N30" s="3"/>
      <c r="O30" s="3"/>
      <c r="P30" s="3"/>
      <c r="Q30" s="3"/>
    </row>
    <row r="31" spans="1:17" x14ac:dyDescent="0.4">
      <c r="A31" s="11"/>
      <c r="B31" s="152" t="s">
        <v>324</v>
      </c>
      <c r="C31" s="11"/>
      <c r="D31" s="264">
        <v>10</v>
      </c>
      <c r="E31" s="264"/>
      <c r="F31" s="207">
        <v>391500000</v>
      </c>
      <c r="G31" s="207"/>
      <c r="H31" s="207">
        <v>760000000</v>
      </c>
      <c r="I31" s="197"/>
      <c r="J31" s="201">
        <v>391500000</v>
      </c>
      <c r="K31" s="201"/>
      <c r="L31" s="201">
        <v>760000000</v>
      </c>
      <c r="N31" s="3"/>
      <c r="O31" s="3"/>
      <c r="P31" s="3"/>
      <c r="Q31" s="3"/>
    </row>
    <row r="32" spans="1:17" x14ac:dyDescent="0.4">
      <c r="A32" s="11"/>
      <c r="B32" s="152" t="s">
        <v>280</v>
      </c>
      <c r="C32" s="11"/>
      <c r="D32" s="264">
        <v>11</v>
      </c>
      <c r="E32" s="264"/>
      <c r="F32" s="200">
        <v>30428177.530000001</v>
      </c>
      <c r="G32" s="200"/>
      <c r="H32" s="200">
        <v>33877211.159999996</v>
      </c>
      <c r="I32" s="197"/>
      <c r="J32" s="201">
        <v>30428177.530000001</v>
      </c>
      <c r="K32" s="201"/>
      <c r="L32" s="201">
        <v>33510807.920000002</v>
      </c>
      <c r="N32" s="3"/>
      <c r="O32" s="3"/>
      <c r="P32" s="3"/>
      <c r="Q32" s="3"/>
    </row>
    <row r="33" spans="1:17" x14ac:dyDescent="0.4">
      <c r="A33" s="11"/>
      <c r="B33" s="152" t="s">
        <v>311</v>
      </c>
      <c r="C33" s="11"/>
      <c r="D33" s="264">
        <v>12</v>
      </c>
      <c r="E33" s="264"/>
      <c r="F33" s="200">
        <v>6930688.5</v>
      </c>
      <c r="G33" s="200"/>
      <c r="H33" s="200">
        <v>7370866.1600000001</v>
      </c>
      <c r="I33" s="197"/>
      <c r="J33" s="201">
        <v>6930688.5</v>
      </c>
      <c r="K33" s="201"/>
      <c r="L33" s="201">
        <v>7370866.1600000001</v>
      </c>
      <c r="N33" s="3"/>
      <c r="O33" s="3"/>
      <c r="P33" s="3"/>
      <c r="Q33" s="3"/>
    </row>
    <row r="34" spans="1:17" x14ac:dyDescent="0.4">
      <c r="A34" s="11"/>
      <c r="B34" s="152" t="s">
        <v>279</v>
      </c>
      <c r="C34" s="11"/>
      <c r="D34" s="264">
        <v>18.3</v>
      </c>
      <c r="E34" s="264"/>
      <c r="F34" s="200">
        <v>58141372.549999997</v>
      </c>
      <c r="G34" s="200"/>
      <c r="H34" s="200">
        <v>25724711.870000001</v>
      </c>
      <c r="I34" s="197"/>
      <c r="J34" s="201">
        <v>50459796.030000001</v>
      </c>
      <c r="K34" s="201"/>
      <c r="L34" s="201">
        <v>24810367.149999999</v>
      </c>
      <c r="N34" s="3"/>
      <c r="O34" s="3"/>
      <c r="P34" s="3"/>
      <c r="Q34" s="3"/>
    </row>
    <row r="35" spans="1:17" x14ac:dyDescent="0.4">
      <c r="A35" s="11"/>
      <c r="B35" s="152" t="s">
        <v>141</v>
      </c>
      <c r="C35" s="11"/>
      <c r="D35" s="264"/>
      <c r="E35" s="264"/>
      <c r="F35" s="200"/>
      <c r="G35" s="200"/>
      <c r="H35" s="200"/>
      <c r="I35" s="197"/>
      <c r="J35" s="201"/>
      <c r="K35" s="201"/>
      <c r="L35" s="201"/>
      <c r="N35" s="3"/>
      <c r="O35" s="3"/>
      <c r="P35" s="3"/>
      <c r="Q35" s="3"/>
    </row>
    <row r="36" spans="1:17" x14ac:dyDescent="0.4">
      <c r="A36" s="11"/>
      <c r="B36" s="11"/>
      <c r="C36" s="11" t="s">
        <v>142</v>
      </c>
      <c r="D36" s="264"/>
      <c r="E36" s="264"/>
      <c r="F36" s="200">
        <v>30288234.969999999</v>
      </c>
      <c r="G36" s="200"/>
      <c r="H36" s="200">
        <v>6536277.9000000004</v>
      </c>
      <c r="I36" s="197"/>
      <c r="J36" s="201">
        <v>27784152.960000001</v>
      </c>
      <c r="K36" s="201"/>
      <c r="L36" s="201">
        <v>4064767.51</v>
      </c>
      <c r="N36" s="3"/>
      <c r="O36" s="3"/>
      <c r="P36" s="3"/>
      <c r="Q36" s="3"/>
    </row>
    <row r="37" spans="1:17" x14ac:dyDescent="0.4">
      <c r="A37" s="11"/>
      <c r="B37" s="11"/>
      <c r="C37" s="152" t="s">
        <v>192</v>
      </c>
      <c r="D37" s="264"/>
      <c r="E37" s="264"/>
      <c r="F37" s="200">
        <v>53265141.799999997</v>
      </c>
      <c r="G37" s="200"/>
      <c r="H37" s="200">
        <v>162900</v>
      </c>
      <c r="I37" s="197"/>
      <c r="J37" s="201">
        <v>53265141.799999997</v>
      </c>
      <c r="K37" s="201"/>
      <c r="L37" s="201">
        <v>162900</v>
      </c>
      <c r="N37" s="3"/>
      <c r="O37" s="3"/>
      <c r="P37" s="3"/>
      <c r="Q37" s="3"/>
    </row>
    <row r="38" spans="1:17" x14ac:dyDescent="0.4">
      <c r="A38" s="11"/>
      <c r="B38" s="11"/>
      <c r="C38" s="152" t="s">
        <v>143</v>
      </c>
      <c r="D38" s="264"/>
      <c r="E38" s="264"/>
      <c r="F38" s="204">
        <f>SUM(F28:F37)</f>
        <v>1011797139.8799999</v>
      </c>
      <c r="G38" s="202"/>
      <c r="H38" s="204">
        <f>SUM(H28:H37)</f>
        <v>1318672517.2200003</v>
      </c>
      <c r="I38" s="197"/>
      <c r="J38" s="204">
        <f>SUM(J28:J37)</f>
        <v>1059688070.55</v>
      </c>
      <c r="K38" s="202"/>
      <c r="L38" s="204">
        <f>SUM(L28:L37)</f>
        <v>1372996808.7400002</v>
      </c>
      <c r="N38" s="3"/>
      <c r="O38" s="3"/>
      <c r="P38" s="3"/>
      <c r="Q38" s="3"/>
    </row>
    <row r="39" spans="1:17" ht="18.75" thickBot="1" x14ac:dyDescent="0.45">
      <c r="A39" s="152" t="s">
        <v>145</v>
      </c>
      <c r="B39" s="11"/>
      <c r="C39" s="11"/>
      <c r="D39" s="264"/>
      <c r="E39" s="264"/>
      <c r="F39" s="208">
        <f>+F38+F25</f>
        <v>3433799777.3199997</v>
      </c>
      <c r="G39" s="202"/>
      <c r="H39" s="208">
        <f>+H38+H25</f>
        <v>2765201363.3100004</v>
      </c>
      <c r="I39" s="197"/>
      <c r="J39" s="208">
        <f>+J38+J25</f>
        <v>3482811020.9099998</v>
      </c>
      <c r="K39" s="202"/>
      <c r="L39" s="208">
        <f>+L38+L25</f>
        <v>2222734549.96</v>
      </c>
      <c r="N39" s="3"/>
      <c r="O39" s="3"/>
      <c r="P39" s="3"/>
      <c r="Q39" s="3"/>
    </row>
    <row r="40" spans="1:17" ht="18.75" thickTop="1" x14ac:dyDescent="0.4">
      <c r="A40" s="11"/>
      <c r="B40" s="11"/>
      <c r="C40" s="11"/>
      <c r="D40" s="264"/>
      <c r="E40" s="264"/>
      <c r="F40" s="218"/>
      <c r="G40" s="218"/>
      <c r="H40" s="218"/>
      <c r="I40" s="197"/>
      <c r="J40" s="202"/>
      <c r="K40" s="202"/>
      <c r="L40" s="202"/>
      <c r="N40" s="3"/>
      <c r="O40" s="3"/>
      <c r="P40" s="3"/>
      <c r="Q40" s="3"/>
    </row>
    <row r="41" spans="1:17" x14ac:dyDescent="0.4">
      <c r="A41" s="18" t="s">
        <v>292</v>
      </c>
      <c r="B41" s="11"/>
      <c r="C41" s="11"/>
      <c r="D41" s="264"/>
      <c r="E41" s="264"/>
      <c r="F41" s="264"/>
      <c r="G41" s="264"/>
      <c r="H41" s="264"/>
      <c r="I41" s="11"/>
      <c r="J41" s="21"/>
      <c r="K41" s="21"/>
      <c r="L41" s="21"/>
      <c r="N41" s="3"/>
      <c r="O41" s="3"/>
      <c r="P41" s="3"/>
      <c r="Q41" s="3"/>
    </row>
    <row r="42" spans="1:17" x14ac:dyDescent="0.4">
      <c r="B42" s="11"/>
      <c r="C42" s="11"/>
      <c r="D42" s="264"/>
      <c r="E42" s="264"/>
      <c r="F42" s="264"/>
      <c r="G42" s="264"/>
      <c r="H42" s="264"/>
      <c r="I42" s="11"/>
      <c r="J42" s="14"/>
      <c r="K42" s="14"/>
      <c r="L42" s="14"/>
      <c r="N42" s="3"/>
      <c r="O42" s="3"/>
      <c r="P42" s="3"/>
      <c r="Q42" s="3"/>
    </row>
    <row r="43" spans="1:17" ht="18.75" customHeight="1" x14ac:dyDescent="0.4">
      <c r="A43" s="11"/>
      <c r="B43" s="11"/>
      <c r="C43" s="11"/>
      <c r="D43" s="264"/>
      <c r="E43" s="264"/>
      <c r="F43" s="264"/>
      <c r="G43" s="264"/>
      <c r="H43" s="264"/>
      <c r="I43" s="11"/>
      <c r="J43" s="14"/>
      <c r="K43" s="14"/>
      <c r="L43" s="14"/>
      <c r="N43" s="3"/>
      <c r="O43" s="3"/>
      <c r="P43" s="3"/>
      <c r="Q43" s="3"/>
    </row>
    <row r="44" spans="1:17" x14ac:dyDescent="0.4">
      <c r="A44" s="12"/>
      <c r="B44" s="31" t="s">
        <v>146</v>
      </c>
      <c r="C44" s="12"/>
      <c r="D44" s="31"/>
      <c r="E44" s="264"/>
      <c r="F44" s="31" t="s">
        <v>146</v>
      </c>
      <c r="G44" s="31"/>
      <c r="H44" s="264"/>
      <c r="I44" s="264"/>
      <c r="J44" s="264"/>
      <c r="K44" s="264"/>
      <c r="L44" s="264"/>
      <c r="N44" s="3"/>
      <c r="O44" s="3"/>
      <c r="P44" s="3"/>
      <c r="Q44" s="3"/>
    </row>
    <row r="45" spans="1:17" ht="9.75" customHeight="1" x14ac:dyDescent="0.4">
      <c r="A45" s="274"/>
      <c r="B45" s="274"/>
      <c r="C45" s="274"/>
      <c r="D45" s="274"/>
      <c r="E45" s="274"/>
      <c r="F45" s="274"/>
      <c r="G45" s="274"/>
      <c r="H45" s="274"/>
      <c r="I45" s="274"/>
      <c r="J45" s="274"/>
      <c r="K45" s="274"/>
      <c r="L45" s="274"/>
      <c r="N45" s="3"/>
      <c r="O45" s="3"/>
      <c r="P45" s="3"/>
      <c r="Q45" s="3"/>
    </row>
    <row r="46" spans="1:17" x14ac:dyDescent="0.4">
      <c r="A46" s="5" t="s">
        <v>205</v>
      </c>
      <c r="B46" s="31"/>
      <c r="C46" s="12"/>
      <c r="D46" s="31"/>
      <c r="E46" s="31"/>
      <c r="F46" s="31"/>
      <c r="G46" s="31"/>
      <c r="H46" s="264"/>
      <c r="I46" s="31"/>
      <c r="J46" s="31"/>
      <c r="K46" s="31"/>
      <c r="L46" s="31"/>
      <c r="N46" s="3"/>
      <c r="O46" s="3"/>
      <c r="P46" s="3"/>
      <c r="Q46" s="3"/>
    </row>
    <row r="47" spans="1:17" x14ac:dyDescent="0.4">
      <c r="A47" s="31"/>
      <c r="B47" s="32"/>
      <c r="C47" s="12"/>
      <c r="D47" s="264"/>
      <c r="E47" s="264"/>
      <c r="F47" s="264"/>
      <c r="G47" s="264"/>
      <c r="H47" s="264"/>
      <c r="I47" s="264"/>
      <c r="J47" s="264"/>
      <c r="K47" s="264"/>
      <c r="L47" s="14"/>
      <c r="N47" s="3"/>
      <c r="O47" s="3"/>
      <c r="P47" s="3"/>
      <c r="Q47" s="3"/>
    </row>
    <row r="48" spans="1:17" x14ac:dyDescent="0.4">
      <c r="A48" s="275" t="s">
        <v>131</v>
      </c>
      <c r="B48" s="275"/>
      <c r="C48" s="275"/>
      <c r="D48" s="275"/>
      <c r="E48" s="275"/>
      <c r="F48" s="275"/>
      <c r="G48" s="275"/>
      <c r="H48" s="275"/>
      <c r="I48" s="275"/>
      <c r="J48" s="275"/>
      <c r="K48" s="275"/>
      <c r="L48" s="275"/>
      <c r="N48" s="3"/>
      <c r="O48" s="3"/>
      <c r="P48" s="3"/>
      <c r="Q48" s="3"/>
    </row>
    <row r="49" spans="1:17" x14ac:dyDescent="0.4">
      <c r="A49" s="275" t="s">
        <v>252</v>
      </c>
      <c r="B49" s="275"/>
      <c r="C49" s="275"/>
      <c r="D49" s="275"/>
      <c r="E49" s="275"/>
      <c r="F49" s="275"/>
      <c r="G49" s="275"/>
      <c r="H49" s="275"/>
      <c r="I49" s="275"/>
      <c r="J49" s="275"/>
      <c r="K49" s="275"/>
      <c r="L49" s="275"/>
      <c r="N49" s="3"/>
      <c r="O49" s="3"/>
      <c r="P49" s="3"/>
      <c r="Q49" s="3"/>
    </row>
    <row r="50" spans="1:17" s="33" customFormat="1" x14ac:dyDescent="0.4">
      <c r="A50" s="275" t="str">
        <f>+A5</f>
        <v>AS AT DECEMBER 31, 2019</v>
      </c>
      <c r="B50" s="275"/>
      <c r="C50" s="275"/>
      <c r="D50" s="275"/>
      <c r="E50" s="275"/>
      <c r="F50" s="275"/>
      <c r="G50" s="275"/>
      <c r="H50" s="275"/>
      <c r="I50" s="275"/>
      <c r="J50" s="275"/>
      <c r="K50" s="275"/>
      <c r="L50" s="275"/>
    </row>
    <row r="51" spans="1:17" ht="18.75" customHeight="1" x14ac:dyDescent="0.4">
      <c r="A51" s="11"/>
      <c r="B51" s="11"/>
      <c r="C51" s="11"/>
      <c r="F51" s="276" t="s">
        <v>132</v>
      </c>
      <c r="G51" s="276"/>
      <c r="H51" s="276"/>
      <c r="I51" s="276"/>
      <c r="J51" s="276"/>
      <c r="K51" s="276"/>
      <c r="L51" s="276"/>
      <c r="N51" s="3"/>
      <c r="O51" s="3"/>
      <c r="P51" s="3"/>
      <c r="Q51" s="3"/>
    </row>
    <row r="52" spans="1:17" ht="18.75" customHeight="1" x14ac:dyDescent="0.4">
      <c r="A52" s="11"/>
      <c r="B52" s="11"/>
      <c r="C52" s="11"/>
      <c r="F52" s="273" t="s">
        <v>210</v>
      </c>
      <c r="G52" s="273"/>
      <c r="H52" s="273"/>
      <c r="I52" s="97"/>
      <c r="J52" s="273" t="s">
        <v>211</v>
      </c>
      <c r="K52" s="273"/>
      <c r="L52" s="273"/>
      <c r="N52" s="3"/>
      <c r="O52" s="3"/>
      <c r="P52" s="3"/>
      <c r="Q52" s="3"/>
    </row>
    <row r="53" spans="1:17" x14ac:dyDescent="0.4">
      <c r="A53" s="11"/>
      <c r="B53" s="11"/>
      <c r="C53" s="11"/>
      <c r="D53" s="150" t="s">
        <v>133</v>
      </c>
      <c r="E53" s="8"/>
      <c r="F53" s="151" t="str">
        <f>F8</f>
        <v>December 31, 2019</v>
      </c>
      <c r="G53" s="233"/>
      <c r="H53" s="151" t="str">
        <f>H8</f>
        <v>December 31, 2018</v>
      </c>
      <c r="J53" s="151" t="str">
        <f>J8</f>
        <v>December 31, 2019</v>
      </c>
      <c r="K53" s="233"/>
      <c r="L53" s="151" t="str">
        <f>L8</f>
        <v>December 31, 2018</v>
      </c>
      <c r="N53" s="3"/>
      <c r="O53" s="3"/>
      <c r="P53" s="3"/>
      <c r="Q53" s="3"/>
    </row>
    <row r="54" spans="1:17" s="47" customFormat="1" ht="18" customHeight="1" x14ac:dyDescent="0.4">
      <c r="A54" s="7"/>
      <c r="B54" s="7"/>
      <c r="C54" s="7"/>
      <c r="D54" s="8"/>
      <c r="E54" s="8"/>
      <c r="F54" s="25"/>
      <c r="G54" s="25"/>
      <c r="H54" s="25"/>
      <c r="I54" s="11"/>
      <c r="J54" s="25"/>
      <c r="K54" s="25"/>
      <c r="L54" s="25"/>
      <c r="M54" s="50"/>
      <c r="N54" s="50"/>
      <c r="O54" s="50"/>
      <c r="P54" s="50"/>
      <c r="Q54" s="50"/>
    </row>
    <row r="55" spans="1:17" ht="18" customHeight="1" x14ac:dyDescent="0.4">
      <c r="A55" s="277" t="s">
        <v>147</v>
      </c>
      <c r="B55" s="277"/>
      <c r="C55" s="277"/>
      <c r="D55" s="34"/>
      <c r="E55" s="34"/>
      <c r="F55" s="35"/>
      <c r="G55" s="35"/>
      <c r="H55" s="35"/>
      <c r="I55" s="11"/>
      <c r="J55" s="35"/>
      <c r="K55" s="35"/>
      <c r="L55" s="35"/>
      <c r="N55" s="3"/>
      <c r="O55" s="3"/>
      <c r="P55" s="3"/>
      <c r="Q55" s="3"/>
    </row>
    <row r="56" spans="1:17" x14ac:dyDescent="0.4">
      <c r="A56" s="152" t="s">
        <v>148</v>
      </c>
      <c r="B56" s="11"/>
      <c r="C56" s="11"/>
      <c r="D56" s="264"/>
      <c r="E56" s="264"/>
      <c r="F56" s="13"/>
      <c r="G56" s="13"/>
      <c r="H56" s="13"/>
      <c r="I56" s="11"/>
      <c r="J56" s="14"/>
      <c r="K56" s="14"/>
      <c r="L56" s="14"/>
      <c r="N56" s="3"/>
      <c r="O56" s="3"/>
      <c r="P56" s="3"/>
      <c r="Q56" s="3"/>
    </row>
    <row r="57" spans="1:17" x14ac:dyDescent="0.4">
      <c r="A57" s="11"/>
      <c r="B57" s="11" t="s">
        <v>325</v>
      </c>
      <c r="C57" s="11"/>
      <c r="D57" s="16">
        <v>15</v>
      </c>
      <c r="E57" s="264"/>
      <c r="F57" s="13">
        <v>350000000</v>
      </c>
      <c r="G57" s="13"/>
      <c r="H57" s="13">
        <v>500000000</v>
      </c>
      <c r="I57" s="11"/>
      <c r="J57" s="14">
        <v>350000000</v>
      </c>
      <c r="K57" s="14"/>
      <c r="L57" s="14">
        <v>500000000</v>
      </c>
      <c r="N57" s="3"/>
      <c r="O57" s="3"/>
      <c r="P57" s="3"/>
      <c r="Q57" s="3"/>
    </row>
    <row r="58" spans="1:17" x14ac:dyDescent="0.4">
      <c r="A58" s="11"/>
      <c r="B58" s="11" t="s">
        <v>281</v>
      </c>
      <c r="C58" s="11"/>
      <c r="D58" s="16"/>
      <c r="E58" s="264"/>
      <c r="F58" s="15"/>
      <c r="G58" s="15"/>
      <c r="H58" s="15"/>
      <c r="I58" s="23"/>
      <c r="J58" s="14"/>
      <c r="K58" s="14"/>
      <c r="L58" s="14"/>
      <c r="N58" s="3"/>
      <c r="O58" s="3"/>
      <c r="P58" s="3"/>
      <c r="Q58" s="3"/>
    </row>
    <row r="59" spans="1:17" x14ac:dyDescent="0.4">
      <c r="A59" s="11"/>
      <c r="B59" s="11"/>
      <c r="C59" s="11" t="s">
        <v>216</v>
      </c>
      <c r="D59" s="16">
        <v>13</v>
      </c>
      <c r="E59" s="264"/>
      <c r="F59" s="207">
        <v>200844339.11000001</v>
      </c>
      <c r="G59" s="207"/>
      <c r="H59" s="207">
        <v>3057889.62</v>
      </c>
      <c r="I59" s="197"/>
      <c r="J59" s="201">
        <v>194140800</v>
      </c>
      <c r="K59" s="201"/>
      <c r="L59" s="201">
        <v>0</v>
      </c>
      <c r="N59" s="3"/>
      <c r="O59" s="3"/>
      <c r="P59" s="3"/>
      <c r="Q59" s="3"/>
    </row>
    <row r="60" spans="1:17" x14ac:dyDescent="0.4">
      <c r="A60" s="11"/>
      <c r="B60" s="11"/>
      <c r="C60" s="11" t="s">
        <v>217</v>
      </c>
      <c r="D60" s="7">
        <v>2.5</v>
      </c>
      <c r="E60" s="264"/>
      <c r="F60" s="207">
        <v>0</v>
      </c>
      <c r="G60" s="207"/>
      <c r="H60" s="207">
        <v>0</v>
      </c>
      <c r="I60" s="197"/>
      <c r="J60" s="201">
        <v>89540000</v>
      </c>
      <c r="K60" s="201"/>
      <c r="L60" s="201">
        <v>0</v>
      </c>
      <c r="N60" s="3"/>
      <c r="O60" s="3"/>
      <c r="P60" s="3"/>
      <c r="Q60" s="3"/>
    </row>
    <row r="61" spans="1:17" x14ac:dyDescent="0.4">
      <c r="A61" s="11"/>
      <c r="B61" s="11" t="s">
        <v>374</v>
      </c>
      <c r="C61" s="11"/>
      <c r="D61" s="7">
        <v>14</v>
      </c>
      <c r="E61" s="264"/>
      <c r="F61" s="207">
        <v>80329950.530000001</v>
      </c>
      <c r="G61" s="207"/>
      <c r="H61" s="207">
        <v>24088216.170000002</v>
      </c>
      <c r="I61" s="197"/>
      <c r="J61" s="201">
        <v>68269169.540000007</v>
      </c>
      <c r="K61" s="201"/>
      <c r="L61" s="201">
        <v>21607328.41</v>
      </c>
      <c r="N61" s="3"/>
      <c r="O61" s="3"/>
      <c r="P61" s="3"/>
      <c r="Q61" s="3"/>
    </row>
    <row r="62" spans="1:17" x14ac:dyDescent="0.4">
      <c r="A62" s="11"/>
      <c r="B62" s="11" t="s">
        <v>375</v>
      </c>
      <c r="C62" s="11"/>
      <c r="D62" s="16">
        <v>2.6</v>
      </c>
      <c r="E62" s="264"/>
      <c r="F62" s="207">
        <v>0</v>
      </c>
      <c r="G62" s="207"/>
      <c r="H62" s="207">
        <v>0</v>
      </c>
      <c r="I62" s="197"/>
      <c r="J62" s="207">
        <v>0</v>
      </c>
      <c r="K62" s="207"/>
      <c r="L62" s="207">
        <v>30000000</v>
      </c>
      <c r="N62" s="3"/>
      <c r="O62" s="3"/>
      <c r="P62" s="3"/>
      <c r="Q62" s="3"/>
    </row>
    <row r="63" spans="1:17" x14ac:dyDescent="0.4">
      <c r="A63" s="11"/>
      <c r="B63" s="11" t="s">
        <v>150</v>
      </c>
      <c r="D63" s="16"/>
      <c r="E63" s="264"/>
      <c r="F63" s="207">
        <v>155852541.25</v>
      </c>
      <c r="G63" s="207"/>
      <c r="H63" s="207">
        <v>15758408.779999999</v>
      </c>
      <c r="I63" s="197"/>
      <c r="J63" s="207">
        <v>155852541.25</v>
      </c>
      <c r="K63" s="207"/>
      <c r="L63" s="207">
        <v>15758408.779999999</v>
      </c>
      <c r="N63" s="3"/>
      <c r="O63" s="3"/>
      <c r="P63" s="3"/>
      <c r="Q63" s="3"/>
    </row>
    <row r="64" spans="1:17" x14ac:dyDescent="0.4">
      <c r="A64" s="11"/>
      <c r="B64" s="11" t="s">
        <v>149</v>
      </c>
      <c r="C64" s="11"/>
      <c r="D64" s="16"/>
      <c r="E64" s="264"/>
      <c r="F64" s="207"/>
      <c r="G64" s="207"/>
      <c r="H64" s="207"/>
      <c r="I64" s="197"/>
      <c r="J64" s="207"/>
      <c r="K64" s="207"/>
      <c r="L64" s="207"/>
      <c r="N64" s="3"/>
      <c r="O64" s="3"/>
      <c r="P64" s="3"/>
      <c r="Q64" s="3"/>
    </row>
    <row r="65" spans="1:17" x14ac:dyDescent="0.4">
      <c r="A65" s="11"/>
      <c r="B65" s="11"/>
      <c r="C65" s="11" t="s">
        <v>218</v>
      </c>
      <c r="D65" s="16"/>
      <c r="E65" s="264"/>
      <c r="F65" s="207">
        <v>855665.74</v>
      </c>
      <c r="G65" s="207"/>
      <c r="H65" s="207">
        <v>3302097.29</v>
      </c>
      <c r="I65" s="200"/>
      <c r="J65" s="200">
        <v>740165.74</v>
      </c>
      <c r="K65" s="200"/>
      <c r="L65" s="200">
        <v>3291597.29</v>
      </c>
      <c r="N65" s="3"/>
      <c r="O65" s="3"/>
      <c r="P65" s="3"/>
      <c r="Q65" s="3"/>
    </row>
    <row r="66" spans="1:17" x14ac:dyDescent="0.4">
      <c r="A66" s="11"/>
      <c r="B66" s="11"/>
      <c r="C66" s="11" t="s">
        <v>138</v>
      </c>
      <c r="D66" s="16"/>
      <c r="E66" s="264"/>
      <c r="F66" s="207">
        <v>12672298.16</v>
      </c>
      <c r="G66" s="207"/>
      <c r="H66" s="207">
        <v>4004460.51</v>
      </c>
      <c r="I66" s="197"/>
      <c r="J66" s="201">
        <v>12495189.640000001</v>
      </c>
      <c r="K66" s="201"/>
      <c r="L66" s="201">
        <v>3851545.81</v>
      </c>
      <c r="N66" s="3"/>
      <c r="O66" s="3"/>
      <c r="P66" s="3"/>
      <c r="Q66" s="3"/>
    </row>
    <row r="67" spans="1:17" x14ac:dyDescent="0.4">
      <c r="A67" s="11"/>
      <c r="B67" s="11"/>
      <c r="C67" s="152" t="s">
        <v>151</v>
      </c>
      <c r="D67" s="16"/>
      <c r="E67" s="264"/>
      <c r="F67" s="204">
        <f>SUM(F57:F66)</f>
        <v>800554794.78999996</v>
      </c>
      <c r="G67" s="202"/>
      <c r="H67" s="204">
        <f>SUM(H57:H66)</f>
        <v>550211072.37</v>
      </c>
      <c r="I67" s="197"/>
      <c r="J67" s="204">
        <f>SUM(J57:J66)</f>
        <v>871037866.16999996</v>
      </c>
      <c r="K67" s="202"/>
      <c r="L67" s="204">
        <f>SUM(L57:L66)</f>
        <v>574508880.28999996</v>
      </c>
      <c r="N67" s="3"/>
      <c r="O67" s="3"/>
      <c r="P67" s="3"/>
      <c r="Q67" s="3"/>
    </row>
    <row r="68" spans="1:17" x14ac:dyDescent="0.4">
      <c r="A68" s="11"/>
      <c r="B68" s="11"/>
      <c r="C68" s="152"/>
      <c r="D68" s="16"/>
      <c r="E68" s="264"/>
      <c r="F68" s="202"/>
      <c r="G68" s="202"/>
      <c r="H68" s="202"/>
      <c r="I68" s="197"/>
      <c r="J68" s="202"/>
      <c r="K68" s="202"/>
      <c r="L68" s="202"/>
      <c r="N68" s="3"/>
      <c r="O68" s="3"/>
      <c r="P68" s="3"/>
      <c r="Q68" s="3"/>
    </row>
    <row r="69" spans="1:17" x14ac:dyDescent="0.4">
      <c r="A69" s="152" t="s">
        <v>234</v>
      </c>
      <c r="B69" s="11"/>
      <c r="C69" s="152"/>
      <c r="D69" s="16"/>
      <c r="E69" s="264"/>
      <c r="F69" s="202"/>
      <c r="G69" s="202"/>
      <c r="H69" s="202"/>
      <c r="I69" s="197"/>
      <c r="J69" s="202"/>
      <c r="K69" s="202"/>
      <c r="L69" s="202"/>
      <c r="N69" s="3"/>
      <c r="O69" s="3"/>
      <c r="P69" s="3"/>
      <c r="Q69" s="3"/>
    </row>
    <row r="70" spans="1:17" x14ac:dyDescent="0.4">
      <c r="A70" s="152"/>
      <c r="B70" s="11" t="s">
        <v>282</v>
      </c>
      <c r="C70" s="152"/>
      <c r="D70" s="16">
        <v>18.3</v>
      </c>
      <c r="E70" s="264"/>
      <c r="F70" s="202">
        <v>32020720.23</v>
      </c>
      <c r="G70" s="202"/>
      <c r="H70" s="202">
        <v>0</v>
      </c>
      <c r="I70" s="197"/>
      <c r="J70" s="202">
        <v>32020720.23</v>
      </c>
      <c r="K70" s="202"/>
      <c r="L70" s="202">
        <v>0</v>
      </c>
      <c r="N70" s="3"/>
      <c r="O70" s="3"/>
      <c r="P70" s="3"/>
      <c r="Q70" s="3"/>
    </row>
    <row r="71" spans="1:17" x14ac:dyDescent="0.4">
      <c r="A71" s="11"/>
      <c r="B71" s="11" t="s">
        <v>238</v>
      </c>
      <c r="C71" s="152"/>
      <c r="D71" s="16">
        <v>16</v>
      </c>
      <c r="E71" s="264"/>
      <c r="F71" s="207">
        <v>28016348</v>
      </c>
      <c r="G71" s="207"/>
      <c r="H71" s="207">
        <v>25649866</v>
      </c>
      <c r="I71" s="201"/>
      <c r="J71" s="201">
        <v>26897959</v>
      </c>
      <c r="K71" s="201"/>
      <c r="L71" s="201">
        <v>23744276</v>
      </c>
      <c r="N71" s="196"/>
      <c r="O71" s="3"/>
      <c r="P71" s="3"/>
      <c r="Q71" s="3"/>
    </row>
    <row r="72" spans="1:17" x14ac:dyDescent="0.4">
      <c r="A72" s="11"/>
      <c r="B72" s="11"/>
      <c r="C72" s="152" t="s">
        <v>235</v>
      </c>
      <c r="D72" s="16"/>
      <c r="E72" s="264"/>
      <c r="F72" s="204">
        <f>SUM(F70:F71)</f>
        <v>60037068.230000004</v>
      </c>
      <c r="G72" s="202"/>
      <c r="H72" s="204">
        <f>SUM(H70:H71)</f>
        <v>25649866</v>
      </c>
      <c r="I72" s="201"/>
      <c r="J72" s="204">
        <f>SUM(J70:J71)</f>
        <v>58918679.230000004</v>
      </c>
      <c r="K72" s="202"/>
      <c r="L72" s="204">
        <f>SUM(L70:L71)</f>
        <v>23744276</v>
      </c>
      <c r="N72" s="3"/>
      <c r="O72" s="3"/>
      <c r="P72" s="3"/>
      <c r="Q72" s="3"/>
    </row>
    <row r="73" spans="1:17" x14ac:dyDescent="0.4">
      <c r="A73" s="11"/>
      <c r="B73" s="11"/>
      <c r="C73" s="152" t="s">
        <v>236</v>
      </c>
      <c r="D73" s="16"/>
      <c r="E73" s="264"/>
      <c r="F73" s="199">
        <f>+F72+F67</f>
        <v>860591863.01999998</v>
      </c>
      <c r="G73" s="202"/>
      <c r="H73" s="199">
        <f>+H72+H67</f>
        <v>575860938.37</v>
      </c>
      <c r="I73" s="197"/>
      <c r="J73" s="199">
        <f>+J72+J67</f>
        <v>929956545.39999998</v>
      </c>
      <c r="K73" s="202"/>
      <c r="L73" s="199">
        <f>+L72+L67</f>
        <v>598253156.28999996</v>
      </c>
      <c r="N73" s="3"/>
      <c r="O73" s="3"/>
      <c r="P73" s="3"/>
      <c r="Q73" s="3"/>
    </row>
    <row r="74" spans="1:17" x14ac:dyDescent="0.4">
      <c r="A74" s="11"/>
      <c r="B74" s="11"/>
      <c r="C74" s="152"/>
      <c r="D74" s="16"/>
      <c r="E74" s="264"/>
      <c r="F74" s="202"/>
      <c r="G74" s="202"/>
      <c r="H74" s="202"/>
      <c r="I74" s="197"/>
      <c r="J74" s="202"/>
      <c r="K74" s="202"/>
      <c r="L74" s="202"/>
      <c r="N74" s="3"/>
      <c r="O74" s="3"/>
      <c r="P74" s="3"/>
      <c r="Q74" s="3"/>
    </row>
    <row r="75" spans="1:17" x14ac:dyDescent="0.4">
      <c r="A75" s="11" t="s">
        <v>292</v>
      </c>
      <c r="B75" s="11"/>
      <c r="C75" s="152"/>
      <c r="D75" s="16"/>
      <c r="E75" s="264"/>
      <c r="F75" s="21"/>
      <c r="G75" s="21"/>
      <c r="H75" s="21"/>
      <c r="I75" s="23"/>
      <c r="J75" s="21"/>
      <c r="K75" s="21"/>
      <c r="L75" s="21"/>
      <c r="N75" s="3"/>
      <c r="O75" s="3"/>
      <c r="P75" s="3"/>
      <c r="Q75" s="3"/>
    </row>
    <row r="76" spans="1:17" x14ac:dyDescent="0.4">
      <c r="A76" s="11"/>
      <c r="B76" s="11"/>
      <c r="C76" s="152"/>
      <c r="D76" s="16"/>
      <c r="E76" s="264"/>
      <c r="F76" s="21"/>
      <c r="G76" s="21"/>
      <c r="H76" s="21"/>
      <c r="I76" s="23"/>
      <c r="J76" s="21"/>
      <c r="K76" s="21"/>
      <c r="L76" s="21"/>
      <c r="N76" s="3"/>
      <c r="O76" s="3"/>
      <c r="P76" s="3"/>
      <c r="Q76" s="3"/>
    </row>
    <row r="77" spans="1:17" x14ac:dyDescent="0.4">
      <c r="A77" s="11"/>
      <c r="B77" s="11"/>
      <c r="C77" s="152"/>
      <c r="D77" s="16"/>
      <c r="E77" s="264"/>
      <c r="F77" s="21"/>
      <c r="G77" s="21"/>
      <c r="H77" s="21"/>
      <c r="I77" s="23"/>
      <c r="J77" s="21"/>
      <c r="K77" s="21"/>
      <c r="L77" s="21"/>
      <c r="N77" s="3"/>
      <c r="O77" s="3"/>
      <c r="P77" s="3"/>
      <c r="Q77" s="3"/>
    </row>
    <row r="78" spans="1:17" x14ac:dyDescent="0.4">
      <c r="A78" s="11"/>
      <c r="B78" s="11"/>
      <c r="C78" s="152"/>
      <c r="D78" s="16"/>
      <c r="E78" s="264"/>
      <c r="F78" s="21"/>
      <c r="G78" s="21"/>
      <c r="H78" s="21"/>
      <c r="I78" s="23"/>
      <c r="J78" s="21"/>
      <c r="K78" s="21"/>
      <c r="L78" s="21"/>
      <c r="N78" s="3"/>
      <c r="O78" s="3"/>
      <c r="P78" s="3"/>
      <c r="Q78" s="3"/>
    </row>
    <row r="79" spans="1:17" x14ac:dyDescent="0.4">
      <c r="A79" s="11"/>
      <c r="B79" s="11"/>
      <c r="C79" s="152"/>
      <c r="D79" s="16"/>
      <c r="E79" s="264"/>
      <c r="F79" s="21"/>
      <c r="G79" s="21"/>
      <c r="H79" s="21"/>
      <c r="I79" s="23"/>
      <c r="J79" s="21"/>
      <c r="K79" s="21"/>
      <c r="L79" s="21"/>
      <c r="N79" s="3"/>
      <c r="O79" s="3"/>
      <c r="P79" s="3"/>
      <c r="Q79" s="3"/>
    </row>
    <row r="80" spans="1:17" x14ac:dyDescent="0.4">
      <c r="A80" s="11"/>
      <c r="B80" s="11"/>
      <c r="C80" s="152"/>
      <c r="D80" s="16"/>
      <c r="E80" s="264"/>
      <c r="F80" s="21"/>
      <c r="G80" s="21"/>
      <c r="H80" s="21"/>
      <c r="I80" s="23"/>
      <c r="J80" s="21"/>
      <c r="K80" s="21"/>
      <c r="L80" s="21"/>
      <c r="N80" s="3"/>
      <c r="O80" s="3"/>
      <c r="P80" s="3"/>
      <c r="Q80" s="3"/>
    </row>
    <row r="81" spans="1:17" x14ac:dyDescent="0.4">
      <c r="A81" s="158"/>
      <c r="B81" s="11"/>
      <c r="C81" s="11"/>
      <c r="D81" s="264"/>
      <c r="E81" s="264"/>
      <c r="F81" s="264"/>
      <c r="G81" s="264"/>
      <c r="H81" s="264"/>
      <c r="I81" s="11"/>
      <c r="J81" s="21"/>
      <c r="K81" s="21"/>
      <c r="L81" s="21"/>
      <c r="N81" s="3"/>
      <c r="O81" s="3"/>
      <c r="P81" s="3"/>
      <c r="Q81" s="3"/>
    </row>
    <row r="82" spans="1:17" x14ac:dyDescent="0.4">
      <c r="A82" s="158"/>
      <c r="B82" s="11"/>
      <c r="C82" s="11"/>
      <c r="D82" s="264"/>
      <c r="E82" s="264"/>
      <c r="F82" s="264"/>
      <c r="G82" s="264"/>
      <c r="H82" s="264"/>
      <c r="I82" s="11"/>
      <c r="J82" s="21"/>
      <c r="K82" s="21"/>
      <c r="L82" s="21"/>
      <c r="N82" s="3"/>
      <c r="O82" s="3"/>
      <c r="P82" s="3"/>
      <c r="Q82" s="3"/>
    </row>
    <row r="83" spans="1:17" x14ac:dyDescent="0.4">
      <c r="A83" s="158"/>
      <c r="B83" s="11"/>
      <c r="C83" s="11"/>
      <c r="D83" s="264"/>
      <c r="E83" s="264"/>
      <c r="F83" s="264"/>
      <c r="G83" s="264"/>
      <c r="H83" s="264"/>
      <c r="I83" s="11"/>
      <c r="J83" s="21"/>
      <c r="K83" s="21"/>
      <c r="L83" s="21"/>
      <c r="N83" s="3"/>
      <c r="O83" s="3"/>
      <c r="P83" s="3"/>
      <c r="Q83" s="3"/>
    </row>
    <row r="84" spans="1:17" x14ac:dyDescent="0.4">
      <c r="C84" s="11"/>
      <c r="D84" s="264"/>
      <c r="E84" s="264"/>
      <c r="F84" s="264"/>
      <c r="G84" s="264"/>
      <c r="H84" s="264"/>
      <c r="I84" s="11"/>
      <c r="J84" s="21"/>
      <c r="K84" s="21"/>
      <c r="L84" s="21"/>
      <c r="N84" s="3"/>
      <c r="O84" s="3"/>
      <c r="P84" s="3"/>
      <c r="Q84" s="3"/>
    </row>
    <row r="85" spans="1:17" x14ac:dyDescent="0.4">
      <c r="A85" s="12"/>
      <c r="B85" s="31" t="s">
        <v>146</v>
      </c>
      <c r="C85" s="12"/>
      <c r="D85" s="31"/>
      <c r="E85" s="264"/>
      <c r="F85" s="31" t="s">
        <v>146</v>
      </c>
      <c r="G85" s="31"/>
      <c r="H85" s="264"/>
      <c r="I85" s="264"/>
      <c r="J85" s="264"/>
      <c r="K85" s="264"/>
      <c r="L85" s="264"/>
      <c r="N85" s="3"/>
      <c r="O85" s="3"/>
      <c r="P85" s="3"/>
      <c r="Q85" s="3"/>
    </row>
    <row r="86" spans="1:17" x14ac:dyDescent="0.4">
      <c r="A86" s="274"/>
      <c r="B86" s="274"/>
      <c r="C86" s="274"/>
      <c r="D86" s="274"/>
      <c r="E86" s="274"/>
      <c r="F86" s="274"/>
      <c r="G86" s="274"/>
      <c r="H86" s="274"/>
      <c r="I86" s="274"/>
      <c r="J86" s="274"/>
      <c r="K86" s="274"/>
      <c r="L86" s="274"/>
      <c r="N86" s="3"/>
      <c r="O86" s="3"/>
      <c r="P86" s="3"/>
      <c r="Q86" s="3"/>
    </row>
    <row r="87" spans="1:17" x14ac:dyDescent="0.4">
      <c r="A87" s="5" t="s">
        <v>205</v>
      </c>
      <c r="B87" s="31"/>
      <c r="C87" s="12"/>
      <c r="D87" s="31"/>
      <c r="E87" s="31"/>
      <c r="F87" s="31"/>
      <c r="G87" s="31"/>
      <c r="H87" s="264"/>
      <c r="I87" s="31"/>
      <c r="J87" s="31"/>
      <c r="K87" s="31"/>
      <c r="L87" s="31"/>
      <c r="N87" s="3"/>
      <c r="O87" s="3"/>
      <c r="P87" s="3"/>
      <c r="Q87" s="3"/>
    </row>
    <row r="88" spans="1:17" x14ac:dyDescent="0.4">
      <c r="A88" s="31"/>
      <c r="B88" s="32"/>
      <c r="C88" s="12"/>
      <c r="D88" s="264"/>
      <c r="E88" s="264"/>
      <c r="F88" s="264"/>
      <c r="G88" s="264"/>
      <c r="H88" s="264"/>
      <c r="I88" s="264"/>
      <c r="J88" s="264"/>
      <c r="K88" s="264"/>
      <c r="L88" s="14"/>
      <c r="N88" s="3"/>
      <c r="O88" s="3"/>
      <c r="P88" s="3"/>
      <c r="Q88" s="3"/>
    </row>
    <row r="89" spans="1:17" x14ac:dyDescent="0.4">
      <c r="A89" s="275" t="s">
        <v>131</v>
      </c>
      <c r="B89" s="275"/>
      <c r="C89" s="275"/>
      <c r="D89" s="275"/>
      <c r="E89" s="275"/>
      <c r="F89" s="275"/>
      <c r="G89" s="275"/>
      <c r="H89" s="275"/>
      <c r="I89" s="275"/>
      <c r="J89" s="275"/>
      <c r="K89" s="275"/>
      <c r="L89" s="275"/>
      <c r="N89" s="3"/>
      <c r="O89" s="3"/>
      <c r="P89" s="3"/>
      <c r="Q89" s="3"/>
    </row>
    <row r="90" spans="1:17" x14ac:dyDescent="0.4">
      <c r="A90" s="275" t="s">
        <v>252</v>
      </c>
      <c r="B90" s="275"/>
      <c r="C90" s="275"/>
      <c r="D90" s="275"/>
      <c r="E90" s="275"/>
      <c r="F90" s="275"/>
      <c r="G90" s="275"/>
      <c r="H90" s="275"/>
      <c r="I90" s="275"/>
      <c r="J90" s="275"/>
      <c r="K90" s="275"/>
      <c r="L90" s="275"/>
      <c r="N90" s="3"/>
      <c r="O90" s="3"/>
      <c r="P90" s="3"/>
      <c r="Q90" s="3"/>
    </row>
    <row r="91" spans="1:17" s="33" customFormat="1" ht="21.75" customHeight="1" x14ac:dyDescent="0.4">
      <c r="A91" s="275" t="str">
        <f>+A50</f>
        <v>AS AT DECEMBER 31, 2019</v>
      </c>
      <c r="B91" s="275"/>
      <c r="C91" s="275"/>
      <c r="D91" s="275"/>
      <c r="E91" s="275"/>
      <c r="F91" s="275"/>
      <c r="G91" s="275"/>
      <c r="H91" s="275"/>
      <c r="I91" s="275"/>
      <c r="J91" s="275"/>
      <c r="K91" s="275"/>
      <c r="L91" s="275"/>
    </row>
    <row r="92" spans="1:17" x14ac:dyDescent="0.4">
      <c r="A92" s="11"/>
      <c r="B92" s="11"/>
      <c r="C92" s="11"/>
      <c r="F92" s="276" t="s">
        <v>132</v>
      </c>
      <c r="G92" s="276"/>
      <c r="H92" s="276"/>
      <c r="I92" s="276"/>
      <c r="J92" s="276"/>
      <c r="K92" s="276"/>
      <c r="L92" s="276"/>
      <c r="N92" s="3"/>
      <c r="O92" s="3"/>
      <c r="P92" s="3"/>
      <c r="Q92" s="3"/>
    </row>
    <row r="93" spans="1:17" ht="18.75" x14ac:dyDescent="0.4">
      <c r="A93" s="11"/>
      <c r="B93" s="11"/>
      <c r="C93" s="11"/>
      <c r="F93" s="273" t="s">
        <v>210</v>
      </c>
      <c r="G93" s="273"/>
      <c r="H93" s="273"/>
      <c r="I93" s="97"/>
      <c r="J93" s="273" t="s">
        <v>211</v>
      </c>
      <c r="K93" s="273"/>
      <c r="L93" s="273"/>
      <c r="N93" s="3"/>
      <c r="O93" s="3"/>
      <c r="P93" s="3"/>
      <c r="Q93" s="3"/>
    </row>
    <row r="94" spans="1:17" x14ac:dyDescent="0.4">
      <c r="A94" s="11"/>
      <c r="B94" s="11"/>
      <c r="C94" s="11"/>
      <c r="D94" s="150" t="s">
        <v>133</v>
      </c>
      <c r="E94" s="8"/>
      <c r="F94" s="151" t="str">
        <f>F53</f>
        <v>December 31, 2019</v>
      </c>
      <c r="G94" s="233"/>
      <c r="H94" s="151" t="str">
        <f>H53</f>
        <v>December 31, 2018</v>
      </c>
      <c r="J94" s="151" t="str">
        <f>J53</f>
        <v>December 31, 2019</v>
      </c>
      <c r="K94" s="233"/>
      <c r="L94" s="151" t="str">
        <f>L53</f>
        <v>December 31, 2018</v>
      </c>
      <c r="N94" s="3"/>
      <c r="O94" s="3"/>
      <c r="P94" s="3"/>
      <c r="Q94" s="3"/>
    </row>
    <row r="95" spans="1:17" x14ac:dyDescent="0.4">
      <c r="A95" s="7"/>
      <c r="B95" s="7"/>
      <c r="C95" s="7"/>
      <c r="D95" s="8"/>
      <c r="E95" s="8"/>
      <c r="F95" s="25"/>
      <c r="G95" s="25"/>
      <c r="H95" s="25"/>
      <c r="I95" s="11"/>
      <c r="J95" s="25"/>
      <c r="K95" s="25"/>
      <c r="L95" s="25"/>
      <c r="N95" s="3"/>
      <c r="O95" s="3"/>
      <c r="P95" s="3"/>
      <c r="Q95" s="3"/>
    </row>
    <row r="96" spans="1:17" x14ac:dyDescent="0.4">
      <c r="A96" s="152" t="s">
        <v>152</v>
      </c>
      <c r="B96" s="11"/>
      <c r="C96" s="11"/>
      <c r="D96" s="264"/>
      <c r="E96" s="264"/>
      <c r="F96" s="35"/>
      <c r="G96" s="35"/>
      <c r="H96" s="36"/>
      <c r="I96" s="11"/>
      <c r="J96" s="35"/>
      <c r="K96" s="35"/>
      <c r="L96" s="35"/>
      <c r="N96" s="3"/>
      <c r="O96" s="3"/>
      <c r="P96" s="3"/>
      <c r="Q96" s="3"/>
    </row>
    <row r="97" spans="1:17" x14ac:dyDescent="0.4">
      <c r="A97" s="11"/>
      <c r="B97" s="11" t="s">
        <v>315</v>
      </c>
      <c r="C97" s="11"/>
      <c r="D97" s="264"/>
      <c r="E97" s="264"/>
      <c r="F97" s="200"/>
      <c r="G97" s="200"/>
      <c r="H97" s="200"/>
      <c r="I97" s="197"/>
      <c r="J97" s="202"/>
      <c r="K97" s="202"/>
      <c r="L97" s="201"/>
      <c r="N97" s="3"/>
      <c r="O97" s="3"/>
      <c r="P97" s="3"/>
      <c r="Q97" s="3"/>
    </row>
    <row r="98" spans="1:17" x14ac:dyDescent="0.4">
      <c r="A98" s="11"/>
      <c r="B98" s="11" t="s">
        <v>153</v>
      </c>
      <c r="C98" s="11"/>
      <c r="D98" s="264"/>
      <c r="E98" s="264"/>
      <c r="F98" s="200"/>
      <c r="G98" s="200"/>
      <c r="H98" s="200"/>
      <c r="I98" s="197"/>
      <c r="J98" s="202"/>
      <c r="K98" s="202"/>
      <c r="L98" s="201"/>
      <c r="N98" s="3"/>
      <c r="O98" s="3"/>
      <c r="P98" s="3"/>
      <c r="Q98" s="3"/>
    </row>
    <row r="99" spans="1:17" ht="18.75" thickBot="1" x14ac:dyDescent="0.45">
      <c r="A99" s="11"/>
      <c r="B99" s="11"/>
      <c r="C99" s="51" t="s">
        <v>352</v>
      </c>
      <c r="D99" s="264">
        <v>20</v>
      </c>
      <c r="E99" s="264"/>
      <c r="F99" s="200"/>
      <c r="G99" s="220"/>
      <c r="H99" s="242">
        <v>705918641</v>
      </c>
      <c r="I99" s="197"/>
      <c r="J99" s="202"/>
      <c r="K99" s="220"/>
      <c r="L99" s="242">
        <v>705918641</v>
      </c>
      <c r="N99" s="3"/>
      <c r="O99" s="3"/>
      <c r="P99" s="3"/>
      <c r="Q99" s="3"/>
    </row>
    <row r="100" spans="1:17" ht="19.5" thickTop="1" thickBot="1" x14ac:dyDescent="0.45">
      <c r="A100" s="11"/>
      <c r="B100" s="11"/>
      <c r="C100" s="51" t="s">
        <v>354</v>
      </c>
      <c r="D100" s="264">
        <v>20</v>
      </c>
      <c r="E100" s="264"/>
      <c r="F100" s="242">
        <v>880875760.38</v>
      </c>
      <c r="G100" s="220"/>
      <c r="H100" s="200"/>
      <c r="I100" s="197"/>
      <c r="J100" s="242">
        <v>880875760.38</v>
      </c>
      <c r="K100" s="220"/>
      <c r="L100" s="201"/>
      <c r="N100" s="3"/>
      <c r="O100" s="3"/>
      <c r="P100" s="3"/>
      <c r="Q100" s="3"/>
    </row>
    <row r="101" spans="1:17" ht="18.75" thickTop="1" x14ac:dyDescent="0.4">
      <c r="A101" s="11"/>
      <c r="B101" s="11" t="s">
        <v>194</v>
      </c>
      <c r="C101" s="11"/>
      <c r="D101" s="264"/>
      <c r="E101" s="264"/>
      <c r="F101" s="200"/>
      <c r="G101" s="200"/>
      <c r="H101" s="200"/>
      <c r="I101" s="197"/>
      <c r="J101" s="201"/>
      <c r="K101" s="201"/>
      <c r="L101" s="201"/>
      <c r="N101" s="3"/>
      <c r="O101" s="3"/>
      <c r="P101" s="3"/>
      <c r="Q101" s="3"/>
    </row>
    <row r="102" spans="1:17" x14ac:dyDescent="0.4">
      <c r="A102" s="11"/>
      <c r="B102" s="11"/>
      <c r="C102" s="51" t="s">
        <v>353</v>
      </c>
      <c r="D102" s="264">
        <v>20</v>
      </c>
      <c r="E102" s="264"/>
      <c r="F102" s="201">
        <v>0</v>
      </c>
      <c r="G102" s="201"/>
      <c r="H102" s="219">
        <v>704700608.25</v>
      </c>
      <c r="I102" s="201"/>
      <c r="J102" s="201">
        <v>0</v>
      </c>
      <c r="K102" s="201"/>
      <c r="L102" s="219">
        <v>704700608.25</v>
      </c>
      <c r="N102" s="3"/>
      <c r="O102" s="3"/>
      <c r="P102" s="3"/>
      <c r="Q102" s="3"/>
    </row>
    <row r="103" spans="1:17" x14ac:dyDescent="0.4">
      <c r="A103" s="11"/>
      <c r="B103" s="11"/>
      <c r="C103" s="51" t="s">
        <v>366</v>
      </c>
      <c r="D103" s="264">
        <v>20</v>
      </c>
      <c r="E103" s="264"/>
      <c r="F103" s="201">
        <v>704952772.88</v>
      </c>
      <c r="G103" s="201"/>
      <c r="H103" s="219">
        <v>0</v>
      </c>
      <c r="I103" s="201"/>
      <c r="J103" s="201">
        <v>704952772.88</v>
      </c>
      <c r="K103" s="201"/>
      <c r="L103" s="219">
        <v>0</v>
      </c>
      <c r="N103" s="3"/>
      <c r="O103" s="3"/>
      <c r="P103" s="3"/>
      <c r="Q103" s="3"/>
    </row>
    <row r="104" spans="1:17" x14ac:dyDescent="0.4">
      <c r="A104" s="11"/>
      <c r="B104" s="11" t="s">
        <v>355</v>
      </c>
      <c r="C104" s="51"/>
      <c r="D104" s="264">
        <v>21</v>
      </c>
      <c r="E104" s="264"/>
      <c r="F104" s="201">
        <v>0</v>
      </c>
      <c r="G104" s="201"/>
      <c r="H104" s="219">
        <v>0</v>
      </c>
      <c r="I104" s="201"/>
      <c r="J104" s="201">
        <v>0</v>
      </c>
      <c r="K104" s="201"/>
      <c r="L104" s="219">
        <v>0</v>
      </c>
      <c r="N104" s="3"/>
      <c r="O104" s="3"/>
      <c r="P104" s="3"/>
      <c r="Q104" s="3"/>
    </row>
    <row r="105" spans="1:17" x14ac:dyDescent="0.4">
      <c r="A105" s="11"/>
      <c r="B105" s="11" t="s">
        <v>316</v>
      </c>
      <c r="C105" s="46"/>
      <c r="D105" s="264">
        <v>20</v>
      </c>
      <c r="E105" s="264"/>
      <c r="F105" s="201">
        <v>145142321.72999999</v>
      </c>
      <c r="G105" s="201"/>
      <c r="H105" s="201">
        <v>144890157.11000001</v>
      </c>
      <c r="I105" s="197"/>
      <c r="J105" s="201">
        <v>145142321.72999999</v>
      </c>
      <c r="K105" s="201"/>
      <c r="L105" s="201">
        <v>144890157.11000001</v>
      </c>
      <c r="N105" s="3"/>
      <c r="O105" s="3"/>
      <c r="P105" s="3"/>
      <c r="Q105" s="3"/>
    </row>
    <row r="106" spans="1:17" x14ac:dyDescent="0.4">
      <c r="A106" s="11"/>
      <c r="B106" s="11" t="s">
        <v>356</v>
      </c>
      <c r="C106" s="46"/>
      <c r="D106" s="264">
        <v>21</v>
      </c>
      <c r="E106" s="264"/>
      <c r="F106" s="201">
        <f>+'Changed-Conso'!J35</f>
        <v>1017450</v>
      </c>
      <c r="G106" s="201"/>
      <c r="H106" s="201">
        <v>0</v>
      </c>
      <c r="I106" s="197"/>
      <c r="J106" s="201">
        <f>+'Changed-Com'!J33</f>
        <v>1017450</v>
      </c>
      <c r="K106" s="201"/>
      <c r="L106" s="201">
        <v>0</v>
      </c>
      <c r="N106" s="3"/>
      <c r="O106" s="3"/>
      <c r="P106" s="3"/>
      <c r="Q106" s="3"/>
    </row>
    <row r="107" spans="1:17" x14ac:dyDescent="0.4">
      <c r="A107" s="11"/>
      <c r="B107" s="11" t="s">
        <v>154</v>
      </c>
      <c r="C107" s="11"/>
      <c r="D107" s="264"/>
      <c r="E107" s="264"/>
      <c r="F107" s="201"/>
      <c r="G107" s="201"/>
      <c r="H107" s="200"/>
      <c r="I107" s="197"/>
      <c r="J107" s="201"/>
      <c r="K107" s="201"/>
      <c r="L107" s="201"/>
      <c r="N107" s="3"/>
      <c r="O107" s="3"/>
      <c r="P107" s="3"/>
      <c r="Q107" s="3"/>
    </row>
    <row r="108" spans="1:17" x14ac:dyDescent="0.4">
      <c r="A108" s="11"/>
      <c r="B108" s="11"/>
      <c r="C108" s="11" t="s">
        <v>155</v>
      </c>
      <c r="D108" s="264"/>
      <c r="E108" s="264"/>
      <c r="F108" s="207">
        <f>+'Changed-Conso'!L35</f>
        <v>88087576.039999992</v>
      </c>
      <c r="G108" s="207"/>
      <c r="H108" s="207">
        <v>70591864.099999994</v>
      </c>
      <c r="I108" s="197"/>
      <c r="J108" s="207">
        <f>+'Changed-Com'!R33</f>
        <v>88087576.040000007</v>
      </c>
      <c r="K108" s="207"/>
      <c r="L108" s="207">
        <v>70591864.100000009</v>
      </c>
      <c r="N108" s="3"/>
      <c r="O108" s="3"/>
      <c r="P108" s="3"/>
      <c r="Q108" s="3"/>
    </row>
    <row r="109" spans="1:17" x14ac:dyDescent="0.4">
      <c r="A109" s="11"/>
      <c r="B109" s="11"/>
      <c r="C109" s="11" t="s">
        <v>156</v>
      </c>
      <c r="D109" s="38"/>
      <c r="E109" s="264"/>
      <c r="F109" s="202">
        <f>+'Changed-Conso'!N35</f>
        <v>1598105027.2800002</v>
      </c>
      <c r="G109" s="202"/>
      <c r="H109" s="220">
        <v>1217455873.73</v>
      </c>
      <c r="I109" s="206"/>
      <c r="J109" s="202">
        <f>+'Changed-Com'!T33</f>
        <v>1613654354.8599999</v>
      </c>
      <c r="K109" s="202"/>
      <c r="L109" s="202">
        <v>704298764.2099998</v>
      </c>
      <c r="N109" s="3"/>
      <c r="O109" s="3"/>
      <c r="P109" s="3"/>
      <c r="Q109" s="3"/>
    </row>
    <row r="110" spans="1:17" x14ac:dyDescent="0.4">
      <c r="A110" s="11"/>
      <c r="B110" s="11" t="s">
        <v>242</v>
      </c>
      <c r="D110" s="5"/>
      <c r="E110" s="5"/>
      <c r="F110" s="199">
        <f>+'Changed-Conso'!T35</f>
        <v>-39547862.480000004</v>
      </c>
      <c r="G110" s="202"/>
      <c r="H110" s="199">
        <v>-23239103.050000001</v>
      </c>
      <c r="I110" s="197"/>
      <c r="J110" s="199">
        <v>0</v>
      </c>
      <c r="K110" s="202"/>
      <c r="L110" s="199">
        <v>0</v>
      </c>
      <c r="N110" s="3"/>
      <c r="O110" s="3"/>
      <c r="P110" s="3"/>
      <c r="Q110" s="3"/>
    </row>
    <row r="111" spans="1:17" x14ac:dyDescent="0.4">
      <c r="A111" s="11"/>
      <c r="B111" s="11"/>
      <c r="C111" s="11" t="s">
        <v>283</v>
      </c>
      <c r="D111" s="264"/>
      <c r="E111" s="264"/>
      <c r="F111" s="201">
        <f>SUM(F102:F110)</f>
        <v>2497757285.4500003</v>
      </c>
      <c r="G111" s="201"/>
      <c r="H111" s="201">
        <f>SUM(H102:H110)</f>
        <v>2114399400.1400001</v>
      </c>
      <c r="I111" s="197"/>
      <c r="J111" s="201">
        <f>SUM(J102:J110)</f>
        <v>2552854475.5099998</v>
      </c>
      <c r="K111" s="201"/>
      <c r="L111" s="201">
        <f>SUM(L102:L110)</f>
        <v>1624481393.6699998</v>
      </c>
      <c r="N111" s="3"/>
      <c r="O111" s="3"/>
      <c r="P111" s="3"/>
      <c r="Q111" s="3"/>
    </row>
    <row r="112" spans="1:17" x14ac:dyDescent="0.4">
      <c r="A112" s="11"/>
      <c r="B112" s="11" t="s">
        <v>246</v>
      </c>
      <c r="C112" s="11"/>
      <c r="D112" s="264"/>
      <c r="E112" s="264"/>
      <c r="F112" s="221">
        <f>+'Changed-Conso'!X35</f>
        <v>75450628.849999994</v>
      </c>
      <c r="G112" s="220"/>
      <c r="H112" s="221">
        <v>74941024.799999997</v>
      </c>
      <c r="I112" s="197"/>
      <c r="J112" s="199">
        <v>0</v>
      </c>
      <c r="K112" s="202"/>
      <c r="L112" s="199">
        <v>0</v>
      </c>
      <c r="N112" s="3"/>
      <c r="O112" s="3"/>
      <c r="P112" s="3"/>
      <c r="Q112" s="3"/>
    </row>
    <row r="113" spans="1:20" x14ac:dyDescent="0.4">
      <c r="A113" s="11"/>
      <c r="B113" s="11"/>
      <c r="C113" s="11" t="s">
        <v>284</v>
      </c>
      <c r="D113" s="264"/>
      <c r="E113" s="264"/>
      <c r="F113" s="201">
        <f>+F112+F111</f>
        <v>2573207914.3000002</v>
      </c>
      <c r="G113" s="201"/>
      <c r="H113" s="201">
        <f>+H112+H111</f>
        <v>2189340424.9400001</v>
      </c>
      <c r="I113" s="197"/>
      <c r="J113" s="201">
        <f>+J112+J111</f>
        <v>2552854475.5099998</v>
      </c>
      <c r="K113" s="201"/>
      <c r="L113" s="201">
        <f>+L112+L111</f>
        <v>1624481393.6699998</v>
      </c>
      <c r="N113" s="3"/>
      <c r="O113" s="3"/>
      <c r="P113" s="3"/>
      <c r="Q113" s="3"/>
    </row>
    <row r="114" spans="1:20" ht="18.75" thickBot="1" x14ac:dyDescent="0.45">
      <c r="A114" s="23" t="s">
        <v>157</v>
      </c>
      <c r="B114" s="11"/>
      <c r="C114" s="11"/>
      <c r="D114" s="264"/>
      <c r="E114" s="264"/>
      <c r="F114" s="208">
        <f>+F113+F73</f>
        <v>3433799777.3200002</v>
      </c>
      <c r="G114" s="202"/>
      <c r="H114" s="208">
        <f>+H113+H73</f>
        <v>2765201363.3099999</v>
      </c>
      <c r="I114" s="197"/>
      <c r="J114" s="208">
        <f>+J113+J73</f>
        <v>3482811020.9099998</v>
      </c>
      <c r="K114" s="202"/>
      <c r="L114" s="208">
        <f>+L113+L73</f>
        <v>2222734549.96</v>
      </c>
      <c r="N114" s="1">
        <f>F114-F39</f>
        <v>0</v>
      </c>
      <c r="O114" s="3"/>
      <c r="P114" s="1" t="e">
        <f>#REF!-#REF!</f>
        <v>#REF!</v>
      </c>
      <c r="Q114" s="3"/>
      <c r="R114" s="1">
        <f>J114-J39</f>
        <v>0</v>
      </c>
      <c r="T114" s="1" t="e">
        <f>#REF!-#REF!</f>
        <v>#REF!</v>
      </c>
    </row>
    <row r="115" spans="1:20" ht="18.75" thickTop="1" x14ac:dyDescent="0.4">
      <c r="A115" s="11"/>
      <c r="F115" s="222"/>
      <c r="G115" s="222"/>
      <c r="H115" s="222"/>
      <c r="I115" s="223"/>
      <c r="J115" s="219"/>
      <c r="K115" s="219"/>
      <c r="L115" s="219"/>
    </row>
    <row r="116" spans="1:20" x14ac:dyDescent="0.4">
      <c r="A116" s="18" t="s">
        <v>292</v>
      </c>
      <c r="B116" s="11"/>
      <c r="C116" s="11"/>
      <c r="D116" s="264"/>
      <c r="E116" s="264"/>
      <c r="F116" s="202"/>
      <c r="G116" s="202"/>
      <c r="H116" s="202"/>
      <c r="I116" s="197"/>
      <c r="J116" s="202"/>
      <c r="K116" s="202"/>
      <c r="L116" s="202"/>
      <c r="N116" s="3"/>
      <c r="O116" s="3"/>
      <c r="P116" s="3"/>
      <c r="Q116" s="3"/>
    </row>
    <row r="117" spans="1:20" x14ac:dyDescent="0.4">
      <c r="A117" s="11"/>
      <c r="B117" s="11"/>
      <c r="C117" s="11"/>
      <c r="D117" s="264"/>
      <c r="E117" s="264"/>
      <c r="F117" s="21"/>
      <c r="G117" s="21"/>
      <c r="H117" s="21"/>
      <c r="I117" s="11"/>
      <c r="J117" s="21"/>
      <c r="K117" s="21"/>
      <c r="L117" s="21"/>
      <c r="N117" s="3"/>
      <c r="O117" s="3"/>
      <c r="P117" s="3"/>
      <c r="Q117" s="3"/>
    </row>
    <row r="118" spans="1:20" x14ac:dyDescent="0.4">
      <c r="A118" s="11"/>
      <c r="B118" s="11"/>
      <c r="C118" s="11"/>
      <c r="D118" s="264"/>
      <c r="E118" s="264"/>
      <c r="F118" s="21"/>
      <c r="G118" s="21"/>
      <c r="H118" s="21"/>
      <c r="I118" s="11"/>
      <c r="J118" s="21"/>
      <c r="K118" s="21"/>
      <c r="L118" s="21"/>
      <c r="N118" s="3"/>
      <c r="O118" s="3"/>
      <c r="P118" s="3"/>
      <c r="Q118" s="3"/>
    </row>
    <row r="119" spans="1:20" x14ac:dyDescent="0.4">
      <c r="A119" s="11"/>
      <c r="B119" s="11"/>
      <c r="C119" s="11"/>
      <c r="D119" s="264"/>
      <c r="E119" s="264"/>
      <c r="F119" s="21"/>
      <c r="G119" s="21"/>
      <c r="H119" s="21"/>
      <c r="I119" s="11"/>
      <c r="J119" s="21"/>
      <c r="K119" s="21"/>
      <c r="L119" s="21"/>
      <c r="N119" s="3"/>
      <c r="O119" s="3"/>
      <c r="P119" s="3"/>
      <c r="Q119" s="3"/>
    </row>
    <row r="120" spans="1:20" x14ac:dyDescent="0.4">
      <c r="A120" s="11"/>
      <c r="B120" s="11"/>
      <c r="C120" s="11"/>
      <c r="D120" s="264"/>
      <c r="E120" s="264"/>
      <c r="F120" s="21"/>
      <c r="G120" s="21"/>
      <c r="H120" s="21"/>
      <c r="I120" s="11"/>
      <c r="J120" s="21"/>
      <c r="K120" s="21"/>
      <c r="L120" s="21"/>
      <c r="N120" s="3"/>
      <c r="O120" s="3"/>
      <c r="P120" s="3"/>
      <c r="Q120" s="3"/>
    </row>
    <row r="121" spans="1:20" x14ac:dyDescent="0.4">
      <c r="A121" s="11"/>
      <c r="B121" s="11"/>
      <c r="C121" s="11"/>
      <c r="D121" s="264"/>
      <c r="E121" s="264"/>
      <c r="F121" s="21"/>
      <c r="G121" s="21"/>
      <c r="H121" s="21"/>
      <c r="I121" s="11"/>
      <c r="J121" s="21"/>
      <c r="K121" s="21"/>
      <c r="L121" s="21"/>
      <c r="N121" s="3"/>
      <c r="O121" s="3"/>
      <c r="P121" s="3"/>
      <c r="Q121" s="3"/>
    </row>
    <row r="122" spans="1:20" x14ac:dyDescent="0.4">
      <c r="A122" s="11"/>
      <c r="B122" s="11"/>
      <c r="C122" s="11"/>
      <c r="D122" s="264"/>
      <c r="E122" s="264"/>
      <c r="F122" s="21"/>
      <c r="G122" s="21"/>
      <c r="H122" s="21"/>
      <c r="I122" s="11"/>
      <c r="J122" s="21"/>
      <c r="K122" s="21"/>
      <c r="L122" s="21"/>
      <c r="N122" s="3"/>
      <c r="O122" s="3"/>
      <c r="P122" s="3"/>
      <c r="Q122" s="3"/>
    </row>
    <row r="123" spans="1:20" x14ac:dyDescent="0.4">
      <c r="A123" s="11"/>
      <c r="B123" s="11"/>
      <c r="C123" s="11"/>
      <c r="D123" s="264"/>
      <c r="E123" s="264"/>
      <c r="F123" s="21"/>
      <c r="G123" s="21"/>
      <c r="H123" s="21"/>
      <c r="I123" s="11"/>
      <c r="J123" s="21"/>
      <c r="K123" s="21"/>
      <c r="L123" s="21"/>
      <c r="N123" s="3"/>
      <c r="O123" s="3"/>
      <c r="P123" s="3"/>
      <c r="Q123" s="3"/>
    </row>
    <row r="124" spans="1:20" x14ac:dyDescent="0.4">
      <c r="A124" s="11"/>
      <c r="B124" s="11"/>
      <c r="C124" s="11"/>
      <c r="D124" s="264"/>
      <c r="E124" s="264"/>
      <c r="F124" s="21"/>
      <c r="G124" s="21"/>
      <c r="H124" s="21"/>
      <c r="I124" s="11"/>
      <c r="J124" s="21"/>
      <c r="K124" s="21"/>
      <c r="L124" s="21"/>
      <c r="N124" s="3"/>
      <c r="O124" s="3"/>
      <c r="P124" s="3"/>
      <c r="Q124" s="3"/>
    </row>
    <row r="125" spans="1:20" x14ac:dyDescent="0.4">
      <c r="B125" s="11"/>
      <c r="C125" s="11"/>
      <c r="D125" s="264"/>
      <c r="E125" s="264"/>
      <c r="F125" s="264"/>
      <c r="G125" s="264"/>
      <c r="H125" s="264"/>
      <c r="I125" s="11"/>
      <c r="J125" s="21"/>
      <c r="K125" s="21"/>
      <c r="L125" s="21"/>
      <c r="N125" s="3"/>
      <c r="O125" s="3"/>
      <c r="P125" s="3"/>
      <c r="Q125" s="3"/>
    </row>
    <row r="126" spans="1:20" x14ac:dyDescent="0.4">
      <c r="A126" s="158"/>
      <c r="B126" s="11"/>
      <c r="C126" s="11"/>
      <c r="D126" s="264"/>
      <c r="E126" s="264"/>
      <c r="F126" s="264"/>
      <c r="G126" s="264"/>
      <c r="H126" s="264"/>
      <c r="I126" s="11"/>
      <c r="J126" s="21"/>
      <c r="K126" s="21"/>
      <c r="L126" s="21"/>
      <c r="N126" s="3"/>
      <c r="O126" s="3"/>
      <c r="P126" s="3"/>
      <c r="Q126" s="3"/>
    </row>
    <row r="127" spans="1:20" x14ac:dyDescent="0.4">
      <c r="A127" s="158"/>
      <c r="B127" s="11"/>
      <c r="C127" s="11"/>
      <c r="D127" s="264"/>
      <c r="E127" s="264"/>
      <c r="F127" s="264"/>
      <c r="G127" s="264"/>
      <c r="H127" s="264"/>
      <c r="I127" s="11"/>
      <c r="J127" s="21"/>
      <c r="K127" s="21"/>
      <c r="L127" s="21"/>
      <c r="N127" s="3"/>
      <c r="O127" s="3"/>
      <c r="P127" s="3"/>
      <c r="Q127" s="3"/>
    </row>
    <row r="128" spans="1:20" x14ac:dyDescent="0.4">
      <c r="A128" s="158"/>
      <c r="B128" s="11"/>
      <c r="C128" s="11"/>
      <c r="D128" s="264"/>
      <c r="E128" s="264"/>
      <c r="F128" s="264"/>
      <c r="G128" s="264"/>
      <c r="H128" s="264"/>
      <c r="I128" s="11"/>
      <c r="J128" s="21"/>
      <c r="K128" s="21"/>
      <c r="L128" s="21"/>
      <c r="N128" s="3"/>
      <c r="O128" s="3"/>
      <c r="P128" s="3"/>
      <c r="Q128" s="3"/>
    </row>
    <row r="129" spans="1:17" x14ac:dyDescent="0.4">
      <c r="A129" s="158"/>
      <c r="B129" s="11"/>
      <c r="C129" s="11"/>
      <c r="D129" s="264"/>
      <c r="E129" s="264"/>
      <c r="F129" s="264"/>
      <c r="G129" s="264"/>
      <c r="H129" s="264"/>
      <c r="I129" s="11"/>
      <c r="J129" s="21"/>
      <c r="K129" s="21"/>
      <c r="L129" s="21"/>
      <c r="N129" s="3"/>
      <c r="O129" s="3"/>
      <c r="P129" s="3"/>
      <c r="Q129" s="3"/>
    </row>
    <row r="130" spans="1:17" x14ac:dyDescent="0.4">
      <c r="C130" s="11"/>
      <c r="D130" s="264"/>
      <c r="E130" s="264"/>
      <c r="F130" s="264"/>
      <c r="G130" s="264"/>
      <c r="H130" s="264"/>
      <c r="I130" s="11"/>
      <c r="J130" s="21"/>
      <c r="K130" s="21"/>
      <c r="L130" s="21"/>
      <c r="N130" s="3"/>
      <c r="O130" s="3"/>
      <c r="P130" s="3"/>
      <c r="Q130" s="3"/>
    </row>
    <row r="131" spans="1:17" x14ac:dyDescent="0.4">
      <c r="A131" s="12"/>
      <c r="B131" s="31" t="s">
        <v>146</v>
      </c>
      <c r="C131" s="12"/>
      <c r="D131" s="31"/>
      <c r="E131" s="264"/>
      <c r="F131" s="31" t="s">
        <v>146</v>
      </c>
      <c r="G131" s="31"/>
      <c r="H131" s="264"/>
      <c r="I131" s="264"/>
      <c r="J131" s="264"/>
      <c r="K131" s="264"/>
      <c r="L131" s="264"/>
      <c r="N131" s="3"/>
      <c r="O131" s="3"/>
      <c r="P131" s="3"/>
      <c r="Q131" s="3"/>
    </row>
    <row r="132" spans="1:17" ht="17.25" customHeight="1" x14ac:dyDescent="0.4">
      <c r="A132" s="274"/>
      <c r="B132" s="274"/>
      <c r="C132" s="274"/>
      <c r="D132" s="274"/>
      <c r="E132" s="274"/>
      <c r="F132" s="274"/>
      <c r="G132" s="274"/>
      <c r="H132" s="274"/>
      <c r="I132" s="274"/>
      <c r="J132" s="274"/>
      <c r="K132" s="274"/>
      <c r="L132" s="274"/>
      <c r="N132" s="3"/>
      <c r="O132" s="3"/>
      <c r="P132" s="3"/>
      <c r="Q132" s="3"/>
    </row>
    <row r="133" spans="1:17" x14ac:dyDescent="0.4">
      <c r="A133" s="11"/>
      <c r="B133" s="11"/>
      <c r="C133" s="11"/>
      <c r="D133" s="198" t="s">
        <v>258</v>
      </c>
      <c r="E133" s="264"/>
      <c r="F133" s="28">
        <f>+F114-F39</f>
        <v>0</v>
      </c>
      <c r="G133" s="28"/>
      <c r="H133" s="28">
        <f>+H114-H39</f>
        <v>0</v>
      </c>
      <c r="I133" s="11"/>
      <c r="J133" s="28">
        <f>+J114-J39</f>
        <v>0</v>
      </c>
      <c r="K133" s="28"/>
      <c r="L133" s="28">
        <f>+L114-L39</f>
        <v>0</v>
      </c>
      <c r="N133" s="3"/>
      <c r="O133" s="3"/>
      <c r="P133" s="3"/>
      <c r="Q133" s="3"/>
    </row>
  </sheetData>
  <mergeCells count="23">
    <mergeCell ref="A10:C10"/>
    <mergeCell ref="A5:L5"/>
    <mergeCell ref="A3:L3"/>
    <mergeCell ref="A4:L4"/>
    <mergeCell ref="F6:L6"/>
    <mergeCell ref="F7:H7"/>
    <mergeCell ref="J7:L7"/>
    <mergeCell ref="A132:L132"/>
    <mergeCell ref="A90:L90"/>
    <mergeCell ref="F92:L92"/>
    <mergeCell ref="A55:C55"/>
    <mergeCell ref="A86:L86"/>
    <mergeCell ref="A89:L89"/>
    <mergeCell ref="A91:L91"/>
    <mergeCell ref="F93:H93"/>
    <mergeCell ref="J93:L93"/>
    <mergeCell ref="F52:H52"/>
    <mergeCell ref="J52:L52"/>
    <mergeCell ref="A45:L45"/>
    <mergeCell ref="A48:L48"/>
    <mergeCell ref="F51:L51"/>
    <mergeCell ref="A49:L49"/>
    <mergeCell ref="A50:L50"/>
  </mergeCells>
  <phoneticPr fontId="0" type="noConversion"/>
  <pageMargins left="0.61" right="0" top="0.511811023622047" bottom="0.27" header="0.35433070866141703" footer="0"/>
  <pageSetup paperSize="9" orientation="portrait" useFirstPageNumber="1" r:id="rId1"/>
  <headerFooter alignWithMargins="0">
    <oddFooter>&amp;C&amp;P</oddFooter>
  </headerFooter>
  <rowBreaks count="2" manualBreakCount="2">
    <brk id="45" max="15" man="1"/>
    <brk id="86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01"/>
  <sheetViews>
    <sheetView view="pageBreakPreview" zoomScale="120" zoomScaleNormal="100" zoomScaleSheetLayoutView="120" workbookViewId="0">
      <selection activeCell="J32" sqref="J32"/>
    </sheetView>
  </sheetViews>
  <sheetFormatPr defaultRowHeight="18" x14ac:dyDescent="0.4"/>
  <cols>
    <col min="1" max="2" width="2.7109375" style="5" customWidth="1"/>
    <col min="3" max="3" width="33.8554687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855468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85546875" style="5" customWidth="1"/>
    <col min="12" max="12" width="13.5703125" style="6" customWidth="1"/>
    <col min="13" max="13" width="2.7109375" style="3" customWidth="1"/>
    <col min="14" max="14" width="15.7109375" style="5" customWidth="1"/>
    <col min="15" max="15" width="2.7109375" style="5" customWidth="1"/>
    <col min="16" max="16" width="13.85546875" style="5" customWidth="1"/>
    <col min="17" max="17" width="2.7109375" style="5" customWidth="1"/>
    <col min="18" max="18" width="14.5703125" style="5" customWidth="1"/>
    <col min="19" max="19" width="5" style="5" customWidth="1"/>
    <col min="20" max="16384" width="9.140625" style="5"/>
  </cols>
  <sheetData>
    <row r="1" spans="1:17" x14ac:dyDescent="0.4">
      <c r="A1" s="5" t="s">
        <v>205</v>
      </c>
      <c r="B1" s="11"/>
      <c r="C1" s="11"/>
      <c r="D1" s="40"/>
      <c r="E1" s="40"/>
      <c r="F1" s="21"/>
      <c r="G1" s="40"/>
      <c r="H1" s="21"/>
      <c r="I1" s="11"/>
      <c r="J1" s="21"/>
      <c r="K1" s="21"/>
      <c r="L1" s="265"/>
      <c r="N1" s="3"/>
      <c r="O1" s="3"/>
      <c r="P1" s="3"/>
      <c r="Q1" s="3"/>
    </row>
    <row r="2" spans="1:17" hidden="1" x14ac:dyDescent="0.4">
      <c r="A2" s="11"/>
      <c r="B2" s="11"/>
      <c r="C2" s="11"/>
      <c r="D2" s="40"/>
      <c r="E2" s="40"/>
      <c r="F2" s="21"/>
      <c r="G2" s="40"/>
      <c r="H2" s="21"/>
      <c r="I2" s="11"/>
      <c r="J2" s="21"/>
      <c r="K2" s="18"/>
      <c r="L2" s="153"/>
      <c r="N2" s="3"/>
      <c r="O2" s="3"/>
      <c r="P2" s="3"/>
      <c r="Q2" s="3"/>
    </row>
    <row r="3" spans="1:17" x14ac:dyDescent="0.4">
      <c r="A3" s="278" t="s">
        <v>131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N3" s="3"/>
      <c r="O3" s="3"/>
      <c r="P3" s="3"/>
      <c r="Q3" s="3"/>
    </row>
    <row r="4" spans="1:17" ht="18" customHeight="1" x14ac:dyDescent="0.4">
      <c r="A4" s="275" t="s">
        <v>158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N4" s="3"/>
      <c r="O4" s="3"/>
      <c r="P4" s="3"/>
      <c r="Q4" s="3"/>
    </row>
    <row r="5" spans="1:17" ht="18" customHeight="1" x14ac:dyDescent="0.4">
      <c r="A5" s="275" t="s">
        <v>357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N5" s="3"/>
      <c r="O5" s="3"/>
      <c r="P5" s="3"/>
      <c r="Q5" s="3"/>
    </row>
    <row r="6" spans="1:17" ht="16.5" customHeight="1" x14ac:dyDescent="0.4">
      <c r="A6" s="11"/>
      <c r="B6" s="11"/>
      <c r="C6" s="263"/>
      <c r="F6" s="276" t="s">
        <v>132</v>
      </c>
      <c r="G6" s="276"/>
      <c r="H6" s="276"/>
      <c r="I6" s="276"/>
      <c r="J6" s="276"/>
      <c r="K6" s="276"/>
      <c r="L6" s="276"/>
      <c r="N6" s="3"/>
      <c r="O6" s="3"/>
      <c r="P6" s="3"/>
      <c r="Q6" s="3"/>
    </row>
    <row r="7" spans="1:17" ht="18.75" x14ac:dyDescent="0.4">
      <c r="A7" s="11"/>
      <c r="B7" s="11"/>
      <c r="C7" s="11" t="s">
        <v>4</v>
      </c>
      <c r="F7" s="273" t="s">
        <v>210</v>
      </c>
      <c r="G7" s="273"/>
      <c r="H7" s="273"/>
      <c r="I7" s="97"/>
      <c r="J7" s="273" t="s">
        <v>211</v>
      </c>
      <c r="K7" s="273"/>
      <c r="L7" s="273"/>
      <c r="N7" s="3"/>
      <c r="O7" s="3"/>
      <c r="P7" s="3"/>
      <c r="Q7" s="3"/>
    </row>
    <row r="8" spans="1:17" ht="18.75" x14ac:dyDescent="0.4">
      <c r="A8" s="11"/>
      <c r="B8" s="11"/>
      <c r="C8" s="11"/>
      <c r="F8" s="273" t="s">
        <v>296</v>
      </c>
      <c r="G8" s="273"/>
      <c r="H8" s="273"/>
      <c r="I8" s="97"/>
      <c r="J8" s="273" t="str">
        <f>+F8</f>
        <v>For the years ended December 31</v>
      </c>
      <c r="K8" s="273"/>
      <c r="L8" s="273"/>
      <c r="N8" s="3"/>
      <c r="O8" s="3"/>
      <c r="P8" s="3"/>
      <c r="Q8" s="3"/>
    </row>
    <row r="9" spans="1:17" x14ac:dyDescent="0.4">
      <c r="A9" s="11"/>
      <c r="B9" s="11"/>
      <c r="C9" s="11"/>
      <c r="D9" s="150" t="s">
        <v>133</v>
      </c>
      <c r="E9" s="8"/>
      <c r="F9" s="150">
        <v>2019</v>
      </c>
      <c r="H9" s="150">
        <v>2018</v>
      </c>
      <c r="J9" s="150">
        <f>+F9</f>
        <v>2019</v>
      </c>
      <c r="K9" s="7"/>
      <c r="L9" s="150">
        <f>+H9</f>
        <v>2018</v>
      </c>
      <c r="N9" s="3"/>
      <c r="O9" s="3"/>
      <c r="P9" s="3"/>
      <c r="Q9" s="3"/>
    </row>
    <row r="10" spans="1:17" x14ac:dyDescent="0.4">
      <c r="A10" s="154" t="s">
        <v>159</v>
      </c>
      <c r="B10" s="11"/>
      <c r="C10" s="11"/>
      <c r="D10" s="264"/>
      <c r="E10" s="264"/>
      <c r="F10" s="13"/>
      <c r="G10" s="13"/>
      <c r="H10" s="13"/>
      <c r="I10" s="11"/>
      <c r="J10" s="14"/>
      <c r="K10" s="11"/>
      <c r="L10" s="14"/>
      <c r="N10" s="3"/>
      <c r="O10" s="3"/>
      <c r="P10" s="3"/>
      <c r="Q10" s="3"/>
    </row>
    <row r="11" spans="1:17" x14ac:dyDescent="0.4">
      <c r="A11" s="11"/>
      <c r="B11" s="11" t="s">
        <v>237</v>
      </c>
      <c r="C11" s="11"/>
      <c r="D11" s="264"/>
      <c r="E11" s="264"/>
      <c r="F11" s="207">
        <v>976497498.19000006</v>
      </c>
      <c r="G11" s="200"/>
      <c r="H11" s="207">
        <v>286326943.06</v>
      </c>
      <c r="I11" s="197"/>
      <c r="J11" s="202">
        <v>909590976.41999996</v>
      </c>
      <c r="K11" s="197"/>
      <c r="L11" s="202">
        <v>242182073.40000001</v>
      </c>
      <c r="M11" s="9"/>
      <c r="N11" s="9"/>
      <c r="O11" s="3"/>
      <c r="P11" s="3"/>
      <c r="Q11" s="3"/>
    </row>
    <row r="12" spans="1:17" x14ac:dyDescent="0.4">
      <c r="A12" s="11"/>
      <c r="B12" s="11" t="s">
        <v>262</v>
      </c>
      <c r="C12" s="11"/>
      <c r="D12" s="264"/>
      <c r="E12" s="264"/>
      <c r="F12" s="207">
        <v>74748797.159999996</v>
      </c>
      <c r="G12" s="200"/>
      <c r="H12" s="207">
        <v>23152079.98</v>
      </c>
      <c r="I12" s="197"/>
      <c r="J12" s="201">
        <v>84215014.609999999</v>
      </c>
      <c r="K12" s="197"/>
      <c r="L12" s="201">
        <v>31169094.91</v>
      </c>
      <c r="M12" s="9"/>
      <c r="N12" s="9"/>
      <c r="O12" s="3"/>
      <c r="P12" s="3"/>
      <c r="Q12" s="3"/>
    </row>
    <row r="13" spans="1:17" x14ac:dyDescent="0.4">
      <c r="A13" s="11"/>
      <c r="B13" s="11" t="s">
        <v>223</v>
      </c>
      <c r="C13" s="11"/>
      <c r="D13" s="264"/>
      <c r="E13" s="264"/>
      <c r="F13" s="207">
        <v>21177679.09</v>
      </c>
      <c r="G13" s="200"/>
      <c r="H13" s="207">
        <v>13802188.710000001</v>
      </c>
      <c r="I13" s="197"/>
      <c r="J13" s="201">
        <v>579471157.34000003</v>
      </c>
      <c r="K13" s="197"/>
      <c r="L13" s="201">
        <v>458605252.11000001</v>
      </c>
      <c r="M13" s="9"/>
      <c r="N13" s="9"/>
      <c r="O13" s="3"/>
      <c r="P13" s="3"/>
      <c r="Q13" s="3"/>
    </row>
    <row r="14" spans="1:17" x14ac:dyDescent="0.4">
      <c r="A14" s="11"/>
      <c r="B14" s="11" t="s">
        <v>161</v>
      </c>
      <c r="C14" s="11"/>
      <c r="D14" s="264"/>
      <c r="E14" s="264"/>
      <c r="F14" s="207">
        <v>118376035.79000001</v>
      </c>
      <c r="G14" s="200"/>
      <c r="H14" s="207">
        <v>123885226.23999999</v>
      </c>
      <c r="I14" s="197"/>
      <c r="J14" s="202">
        <v>129040705.65000001</v>
      </c>
      <c r="K14" s="197"/>
      <c r="L14" s="202">
        <v>125112277.81</v>
      </c>
      <c r="M14" s="9"/>
      <c r="N14" s="9"/>
      <c r="O14" s="3"/>
      <c r="P14" s="3"/>
      <c r="Q14" s="3"/>
    </row>
    <row r="15" spans="1:17" x14ac:dyDescent="0.4">
      <c r="A15" s="11"/>
      <c r="B15" s="11" t="s">
        <v>160</v>
      </c>
      <c r="C15" s="11"/>
      <c r="D15" s="264"/>
      <c r="E15" s="264"/>
      <c r="F15" s="218"/>
      <c r="G15" s="218"/>
      <c r="H15" s="218"/>
      <c r="I15" s="197"/>
      <c r="J15" s="201"/>
      <c r="K15" s="197"/>
      <c r="L15" s="201"/>
      <c r="M15" s="9"/>
      <c r="N15" s="9"/>
      <c r="O15" s="3"/>
      <c r="P15" s="3"/>
      <c r="Q15" s="3"/>
    </row>
    <row r="16" spans="1:17" x14ac:dyDescent="0.4">
      <c r="A16" s="11"/>
      <c r="B16" s="11"/>
      <c r="C16" s="11" t="s">
        <v>195</v>
      </c>
      <c r="D16" s="264"/>
      <c r="E16" s="264"/>
      <c r="F16" s="201">
        <v>0</v>
      </c>
      <c r="G16" s="200"/>
      <c r="H16" s="201">
        <v>3400000</v>
      </c>
      <c r="I16" s="197"/>
      <c r="J16" s="201">
        <v>0</v>
      </c>
      <c r="K16" s="197"/>
      <c r="L16" s="201">
        <v>3000000</v>
      </c>
      <c r="M16" s="9"/>
      <c r="N16" s="9"/>
      <c r="O16" s="3"/>
      <c r="P16" s="3"/>
      <c r="Q16" s="3"/>
    </row>
    <row r="17" spans="1:17" x14ac:dyDescent="0.4">
      <c r="A17" s="11"/>
      <c r="B17" s="11"/>
      <c r="C17" s="11" t="s">
        <v>312</v>
      </c>
      <c r="D17" s="264"/>
      <c r="E17" s="264"/>
      <c r="F17" s="201">
        <v>0</v>
      </c>
      <c r="G17" s="200"/>
      <c r="H17" s="201">
        <v>1000000</v>
      </c>
      <c r="I17" s="197"/>
      <c r="J17" s="201">
        <v>0</v>
      </c>
      <c r="K17" s="197"/>
      <c r="L17" s="201">
        <v>1000000</v>
      </c>
      <c r="M17" s="9"/>
      <c r="N17" s="9"/>
      <c r="O17" s="3"/>
      <c r="P17" s="3"/>
      <c r="Q17" s="3"/>
    </row>
    <row r="18" spans="1:17" x14ac:dyDescent="0.4">
      <c r="A18" s="11"/>
      <c r="B18" s="11"/>
      <c r="C18" s="11" t="s">
        <v>367</v>
      </c>
      <c r="D18" s="264">
        <v>4.3</v>
      </c>
      <c r="E18" s="264"/>
      <c r="F18" s="201">
        <v>587222864</v>
      </c>
      <c r="G18" s="200"/>
      <c r="H18" s="201">
        <v>0</v>
      </c>
      <c r="I18" s="197"/>
      <c r="J18" s="201">
        <v>587222864</v>
      </c>
      <c r="K18" s="197"/>
      <c r="L18" s="201">
        <v>0</v>
      </c>
      <c r="M18" s="9"/>
      <c r="N18" s="9"/>
      <c r="O18" s="3"/>
      <c r="P18" s="3"/>
      <c r="Q18" s="3"/>
    </row>
    <row r="19" spans="1:17" x14ac:dyDescent="0.4">
      <c r="A19" s="11"/>
      <c r="B19" s="11"/>
      <c r="C19" s="11" t="s">
        <v>345</v>
      </c>
      <c r="D19" s="198"/>
      <c r="E19" s="264"/>
      <c r="F19" s="201">
        <v>0</v>
      </c>
      <c r="G19" s="200"/>
      <c r="H19" s="201">
        <v>14549518.52</v>
      </c>
      <c r="I19" s="197"/>
      <c r="J19" s="201">
        <v>0</v>
      </c>
      <c r="K19" s="197"/>
      <c r="L19" s="201">
        <v>5182238.3099999996</v>
      </c>
      <c r="M19" s="9"/>
      <c r="N19" s="9"/>
      <c r="O19" s="3"/>
      <c r="P19" s="3"/>
      <c r="Q19" s="3"/>
    </row>
    <row r="20" spans="1:17" x14ac:dyDescent="0.4">
      <c r="A20" s="11"/>
      <c r="B20" s="11"/>
      <c r="C20" s="11" t="s">
        <v>138</v>
      </c>
      <c r="D20" s="18"/>
      <c r="E20" s="18"/>
      <c r="F20" s="207">
        <v>9764791.1799999997</v>
      </c>
      <c r="G20" s="200"/>
      <c r="H20" s="207">
        <v>141327.51999999999</v>
      </c>
      <c r="I20" s="197"/>
      <c r="J20" s="201">
        <v>7520611.6799999997</v>
      </c>
      <c r="K20" s="197"/>
      <c r="L20" s="201">
        <v>54162.26</v>
      </c>
      <c r="M20" s="9"/>
      <c r="N20" s="9"/>
      <c r="O20" s="3"/>
      <c r="P20" s="3"/>
      <c r="Q20" s="3"/>
    </row>
    <row r="21" spans="1:17" x14ac:dyDescent="0.4">
      <c r="A21" s="11"/>
      <c r="B21" s="11"/>
      <c r="C21" s="11" t="s">
        <v>162</v>
      </c>
      <c r="D21" s="264"/>
      <c r="E21" s="264"/>
      <c r="F21" s="204">
        <f>SUM(F11:F20)</f>
        <v>1787787665.4100001</v>
      </c>
      <c r="G21" s="200"/>
      <c r="H21" s="204">
        <f>SUM(H11:H20)</f>
        <v>466257284.02999997</v>
      </c>
      <c r="I21" s="197"/>
      <c r="J21" s="204">
        <f>SUM(J11:J20)</f>
        <v>2297061329.6999998</v>
      </c>
      <c r="K21" s="197"/>
      <c r="L21" s="204">
        <f>SUM(L11:L20)</f>
        <v>866305098.79999995</v>
      </c>
      <c r="M21" s="9"/>
      <c r="N21" s="9"/>
      <c r="O21" s="3"/>
      <c r="P21" s="3"/>
      <c r="Q21" s="3"/>
    </row>
    <row r="22" spans="1:17" ht="8.25" customHeight="1" x14ac:dyDescent="0.4">
      <c r="A22" s="11"/>
      <c r="B22" s="11"/>
      <c r="C22" s="11"/>
      <c r="D22" s="264"/>
      <c r="E22" s="264"/>
      <c r="F22" s="200"/>
      <c r="G22" s="200"/>
      <c r="H22" s="200"/>
      <c r="I22" s="197"/>
      <c r="J22" s="200"/>
      <c r="K22" s="197"/>
      <c r="L22" s="200"/>
      <c r="M22" s="9"/>
      <c r="N22" s="9"/>
      <c r="O22" s="3"/>
      <c r="P22" s="3"/>
      <c r="Q22" s="3"/>
    </row>
    <row r="23" spans="1:17" x14ac:dyDescent="0.4">
      <c r="A23" s="11" t="s">
        <v>163</v>
      </c>
      <c r="B23" s="11"/>
      <c r="C23" s="11"/>
      <c r="D23" s="264"/>
      <c r="E23" s="264"/>
      <c r="F23" s="200"/>
      <c r="G23" s="200"/>
      <c r="H23" s="200"/>
      <c r="I23" s="197"/>
      <c r="J23" s="201"/>
      <c r="K23" s="197"/>
      <c r="L23" s="201"/>
      <c r="M23" s="9"/>
      <c r="N23" s="9"/>
      <c r="O23" s="3"/>
      <c r="P23" s="3"/>
      <c r="Q23" s="3"/>
    </row>
    <row r="24" spans="1:17" x14ac:dyDescent="0.4">
      <c r="A24" s="11"/>
      <c r="B24" s="11" t="s">
        <v>269</v>
      </c>
      <c r="C24" s="11"/>
      <c r="D24" s="264"/>
      <c r="E24" s="264"/>
      <c r="F24" s="200">
        <v>517819424.19999999</v>
      </c>
      <c r="G24" s="200"/>
      <c r="H24" s="200">
        <v>127770847.81</v>
      </c>
      <c r="I24" s="197"/>
      <c r="J24" s="201">
        <v>587898630.82000005</v>
      </c>
      <c r="K24" s="197"/>
      <c r="L24" s="201">
        <v>83256520.319999993</v>
      </c>
      <c r="M24" s="9"/>
      <c r="N24" s="9"/>
      <c r="O24" s="3"/>
      <c r="P24" s="3"/>
      <c r="Q24" s="3"/>
    </row>
    <row r="25" spans="1:17" x14ac:dyDescent="0.4">
      <c r="A25" s="11"/>
      <c r="B25" s="11" t="s">
        <v>219</v>
      </c>
      <c r="C25" s="11"/>
      <c r="D25" s="266"/>
      <c r="E25" s="266"/>
      <c r="F25" s="200">
        <v>106311213.92</v>
      </c>
      <c r="G25" s="200"/>
      <c r="H25" s="200">
        <v>60955723.600000001</v>
      </c>
      <c r="I25" s="197"/>
      <c r="J25" s="201">
        <v>95733404.540000007</v>
      </c>
      <c r="K25" s="197"/>
      <c r="L25" s="201">
        <v>51757591.649999999</v>
      </c>
      <c r="M25" s="9"/>
      <c r="N25" s="9"/>
      <c r="O25" s="3"/>
      <c r="P25" s="3"/>
      <c r="Q25" s="3"/>
    </row>
    <row r="26" spans="1:17" x14ac:dyDescent="0.4">
      <c r="A26" s="11"/>
      <c r="B26" s="22" t="s">
        <v>289</v>
      </c>
      <c r="C26" s="11"/>
      <c r="D26" s="264">
        <v>4.4000000000000004</v>
      </c>
      <c r="E26" s="266"/>
      <c r="F26" s="200">
        <v>243462519.24000001</v>
      </c>
      <c r="G26" s="200"/>
      <c r="H26" s="200">
        <v>232278315.22999999</v>
      </c>
      <c r="I26" s="197"/>
      <c r="J26" s="201">
        <v>157880559.36000001</v>
      </c>
      <c r="K26" s="197"/>
      <c r="L26" s="201">
        <v>125929231.51000001</v>
      </c>
      <c r="M26" s="9"/>
      <c r="N26" s="9"/>
      <c r="O26" s="3"/>
      <c r="P26" s="3"/>
      <c r="Q26" s="3"/>
    </row>
    <row r="27" spans="1:17" x14ac:dyDescent="0.4">
      <c r="A27" s="11"/>
      <c r="B27" s="22" t="s">
        <v>346</v>
      </c>
      <c r="C27" s="11"/>
      <c r="D27" s="264"/>
      <c r="E27" s="266"/>
      <c r="F27" s="207">
        <v>0</v>
      </c>
      <c r="G27" s="200"/>
      <c r="H27" s="207">
        <v>970000</v>
      </c>
      <c r="I27" s="197"/>
      <c r="J27" s="201">
        <v>0</v>
      </c>
      <c r="K27" s="197"/>
      <c r="L27" s="201">
        <v>970000</v>
      </c>
      <c r="M27" s="9"/>
      <c r="N27" s="9"/>
      <c r="O27" s="3"/>
      <c r="P27" s="3"/>
      <c r="Q27" s="3"/>
    </row>
    <row r="28" spans="1:17" x14ac:dyDescent="0.4">
      <c r="A28" s="11"/>
      <c r="B28" s="11" t="s">
        <v>220</v>
      </c>
      <c r="C28" s="11"/>
      <c r="D28" s="38"/>
      <c r="E28" s="266"/>
      <c r="F28" s="200">
        <v>14117960.34</v>
      </c>
      <c r="G28" s="200"/>
      <c r="H28" s="200">
        <v>12770790.76</v>
      </c>
      <c r="I28" s="197"/>
      <c r="J28" s="201">
        <v>14508122.42</v>
      </c>
      <c r="K28" s="197"/>
      <c r="L28" s="201">
        <v>14614363.6</v>
      </c>
      <c r="M28" s="9"/>
      <c r="N28" s="9"/>
      <c r="O28" s="3"/>
      <c r="P28" s="3"/>
      <c r="Q28" s="3"/>
    </row>
    <row r="29" spans="1:17" x14ac:dyDescent="0.4">
      <c r="A29" s="11"/>
      <c r="B29" s="11"/>
      <c r="C29" s="11" t="s">
        <v>164</v>
      </c>
      <c r="D29" s="264"/>
      <c r="E29" s="264"/>
      <c r="F29" s="204">
        <f>SUM(F24:F28)</f>
        <v>881711117.70000005</v>
      </c>
      <c r="G29" s="207"/>
      <c r="H29" s="204">
        <f>SUM(H24:H28)</f>
        <v>434745677.39999998</v>
      </c>
      <c r="I29" s="201"/>
      <c r="J29" s="204">
        <f>SUM(J24:J28)</f>
        <v>856020717.13999999</v>
      </c>
      <c r="K29" s="201"/>
      <c r="L29" s="204">
        <f>SUM(L24:L28)</f>
        <v>276527707.08000004</v>
      </c>
      <c r="M29" s="9"/>
      <c r="N29" s="9"/>
      <c r="O29" s="3"/>
      <c r="P29" s="3"/>
      <c r="Q29" s="3"/>
    </row>
    <row r="30" spans="1:17" ht="7.5" customHeight="1" x14ac:dyDescent="0.4">
      <c r="A30" s="11"/>
      <c r="B30" s="11"/>
      <c r="C30" s="11"/>
      <c r="D30" s="264"/>
      <c r="E30" s="264"/>
      <c r="F30" s="200"/>
      <c r="G30" s="200"/>
      <c r="H30" s="200"/>
      <c r="I30" s="197"/>
      <c r="J30" s="201"/>
      <c r="K30" s="197"/>
      <c r="L30" s="201"/>
      <c r="M30" s="9"/>
      <c r="N30" s="9"/>
      <c r="O30" s="3"/>
      <c r="P30" s="3"/>
      <c r="Q30" s="3"/>
    </row>
    <row r="31" spans="1:17" x14ac:dyDescent="0.4">
      <c r="A31" s="11" t="s">
        <v>275</v>
      </c>
      <c r="B31" s="11"/>
      <c r="C31" s="11"/>
      <c r="D31" s="40"/>
      <c r="E31" s="40"/>
      <c r="F31" s="201">
        <f>+F21-F29</f>
        <v>906076547.71000004</v>
      </c>
      <c r="G31" s="207"/>
      <c r="H31" s="201">
        <f>+H21-H29</f>
        <v>31511606.629999995</v>
      </c>
      <c r="I31" s="197"/>
      <c r="J31" s="201">
        <f>+J21-J29</f>
        <v>1441040612.5599999</v>
      </c>
      <c r="K31" s="197"/>
      <c r="L31" s="201">
        <f>+L21-L29</f>
        <v>589777391.71999991</v>
      </c>
      <c r="M31" s="9"/>
      <c r="N31" s="9"/>
      <c r="O31" s="3"/>
      <c r="P31" s="3"/>
      <c r="Q31" s="3"/>
    </row>
    <row r="32" spans="1:17" x14ac:dyDescent="0.4">
      <c r="A32" s="11" t="s">
        <v>297</v>
      </c>
      <c r="B32" s="11"/>
      <c r="C32" s="11"/>
      <c r="D32" s="7">
        <v>18.2</v>
      </c>
      <c r="F32" s="224">
        <v>-169088219.87</v>
      </c>
      <c r="G32" s="200"/>
      <c r="H32" s="224">
        <v>-28300149.079999998</v>
      </c>
      <c r="I32" s="197"/>
      <c r="J32" s="199">
        <v>-175855451.66999999</v>
      </c>
      <c r="K32" s="201"/>
      <c r="L32" s="199">
        <v>-28683353.879999999</v>
      </c>
      <c r="M32" s="9"/>
      <c r="N32" s="9"/>
      <c r="O32" s="3"/>
      <c r="P32" s="3"/>
      <c r="Q32" s="3"/>
    </row>
    <row r="33" spans="1:17" ht="18.75" thickBot="1" x14ac:dyDescent="0.45">
      <c r="A33" s="23" t="s">
        <v>165</v>
      </c>
      <c r="B33" s="11"/>
      <c r="C33" s="11"/>
      <c r="D33" s="264"/>
      <c r="E33" s="264"/>
      <c r="F33" s="225">
        <f>SUM(F31:F32)</f>
        <v>736988327.84000003</v>
      </c>
      <c r="G33" s="200"/>
      <c r="H33" s="225">
        <f>SUM(H31:H32)</f>
        <v>3211457.549999997</v>
      </c>
      <c r="I33" s="197"/>
      <c r="J33" s="225">
        <f>SUM(J31:J32)</f>
        <v>1265185160.8899999</v>
      </c>
      <c r="K33" s="201"/>
      <c r="L33" s="225">
        <f>SUM(L31:L32)</f>
        <v>561094037.83999991</v>
      </c>
      <c r="M33" s="9"/>
      <c r="N33" s="9"/>
      <c r="O33" s="3"/>
      <c r="P33" s="3"/>
      <c r="Q33" s="3"/>
    </row>
    <row r="34" spans="1:17" ht="6.75" customHeight="1" thickTop="1" x14ac:dyDescent="0.4">
      <c r="A34" s="23"/>
      <c r="B34" s="11"/>
      <c r="C34" s="11"/>
      <c r="D34" s="264"/>
      <c r="E34" s="264"/>
      <c r="F34" s="220"/>
      <c r="G34" s="200"/>
      <c r="H34" s="220"/>
      <c r="I34" s="197"/>
      <c r="J34" s="220"/>
      <c r="K34" s="201"/>
      <c r="L34" s="220"/>
      <c r="M34" s="9"/>
      <c r="N34" s="9"/>
      <c r="O34" s="3"/>
      <c r="P34" s="3"/>
      <c r="Q34" s="3"/>
    </row>
    <row r="35" spans="1:17" ht="18.75" x14ac:dyDescent="0.4">
      <c r="A35" s="245" t="s">
        <v>253</v>
      </c>
      <c r="B35" s="246"/>
      <c r="C35" s="245"/>
      <c r="D35" s="264"/>
      <c r="E35" s="264"/>
      <c r="F35" s="220"/>
      <c r="G35" s="200"/>
      <c r="H35" s="220"/>
      <c r="I35" s="197"/>
      <c r="J35" s="220"/>
      <c r="K35" s="201"/>
      <c r="L35" s="220"/>
      <c r="M35" s="9"/>
      <c r="N35" s="9"/>
      <c r="O35" s="3"/>
      <c r="P35" s="3"/>
      <c r="Q35" s="3"/>
    </row>
    <row r="36" spans="1:17" ht="18.75" x14ac:dyDescent="0.4">
      <c r="A36" s="245"/>
      <c r="B36" s="23" t="s">
        <v>254</v>
      </c>
      <c r="C36" s="245"/>
      <c r="D36" s="264"/>
      <c r="E36" s="264"/>
      <c r="F36" s="220">
        <f>+F33-F37</f>
        <v>736478723.79000008</v>
      </c>
      <c r="G36" s="220"/>
      <c r="H36" s="220">
        <f>+H33-H37</f>
        <v>4564733.2799999975</v>
      </c>
      <c r="I36" s="220"/>
      <c r="J36" s="220">
        <f>J33</f>
        <v>1265185160.8899999</v>
      </c>
      <c r="K36" s="220"/>
      <c r="L36" s="220">
        <f>L33</f>
        <v>561094037.83999991</v>
      </c>
      <c r="M36" s="9"/>
      <c r="N36" s="9"/>
      <c r="O36" s="3"/>
      <c r="P36" s="3"/>
      <c r="Q36" s="3"/>
    </row>
    <row r="37" spans="1:17" ht="18.75" x14ac:dyDescent="0.4">
      <c r="A37" s="23"/>
      <c r="B37" s="11" t="s">
        <v>246</v>
      </c>
      <c r="C37" s="11"/>
      <c r="D37" s="264"/>
      <c r="E37" s="264"/>
      <c r="F37" s="221">
        <v>509604.05</v>
      </c>
      <c r="G37" s="202"/>
      <c r="H37" s="221">
        <v>-1353275.73</v>
      </c>
      <c r="I37" s="226"/>
      <c r="J37" s="227">
        <v>0</v>
      </c>
      <c r="K37" s="226"/>
      <c r="L37" s="227">
        <v>0</v>
      </c>
      <c r="M37" s="9"/>
      <c r="N37" s="9"/>
      <c r="O37" s="3"/>
      <c r="P37" s="3"/>
      <c r="Q37" s="3"/>
    </row>
    <row r="38" spans="1:17" ht="18.75" thickBot="1" x14ac:dyDescent="0.45">
      <c r="A38" s="11"/>
      <c r="B38" s="11"/>
      <c r="C38" s="11"/>
      <c r="D38" s="40"/>
      <c r="E38" s="40"/>
      <c r="F38" s="208">
        <f>SUM(F36:F37)</f>
        <v>736988327.84000003</v>
      </c>
      <c r="G38" s="207"/>
      <c r="H38" s="208">
        <f>SUM(H36:H37)</f>
        <v>3211457.5499999975</v>
      </c>
      <c r="I38" s="197"/>
      <c r="J38" s="208">
        <f>SUM(J36:J37)</f>
        <v>1265185160.8899999</v>
      </c>
      <c r="K38" s="197"/>
      <c r="L38" s="208">
        <f>SUM(L36:L37)</f>
        <v>561094037.83999991</v>
      </c>
      <c r="M38" s="9"/>
      <c r="N38" s="9"/>
      <c r="O38" s="3"/>
      <c r="P38" s="3"/>
      <c r="Q38" s="3"/>
    </row>
    <row r="39" spans="1:17" ht="7.5" customHeight="1" thickTop="1" x14ac:dyDescent="0.4">
      <c r="A39" s="11"/>
      <c r="B39" s="11"/>
      <c r="C39" s="11"/>
      <c r="D39" s="264"/>
      <c r="E39" s="264"/>
      <c r="F39" s="200"/>
      <c r="G39" s="200"/>
      <c r="H39" s="200"/>
      <c r="I39" s="197"/>
      <c r="J39" s="202"/>
      <c r="K39" s="197"/>
      <c r="L39" s="202"/>
      <c r="M39" s="9"/>
      <c r="N39" s="9"/>
      <c r="O39" s="3"/>
      <c r="P39" s="3"/>
      <c r="Q39" s="3"/>
    </row>
    <row r="40" spans="1:17" ht="15" customHeight="1" x14ac:dyDescent="0.4">
      <c r="A40" s="247" t="s">
        <v>263</v>
      </c>
      <c r="B40" s="11"/>
      <c r="C40" s="11"/>
      <c r="D40" s="37"/>
      <c r="E40" s="264"/>
      <c r="F40" s="200"/>
      <c r="G40" s="200"/>
      <c r="H40" s="200"/>
      <c r="I40" s="197"/>
      <c r="J40" s="202"/>
      <c r="K40" s="206"/>
      <c r="L40" s="202"/>
      <c r="M40" s="9"/>
      <c r="N40" s="9"/>
      <c r="O40" s="3"/>
      <c r="P40" s="3"/>
      <c r="Q40" s="3"/>
    </row>
    <row r="41" spans="1:17" ht="18.75" thickBot="1" x14ac:dyDescent="0.45">
      <c r="A41" s="11"/>
      <c r="B41" s="23" t="s">
        <v>214</v>
      </c>
      <c r="C41" s="11"/>
      <c r="D41" s="264">
        <v>17</v>
      </c>
      <c r="E41" s="264"/>
      <c r="F41" s="260">
        <f>+F36/F42</f>
        <v>0.13061441926300027</v>
      </c>
      <c r="G41" s="261"/>
      <c r="H41" s="260">
        <f>+H36/H42</f>
        <v>8.0969372428521622E-4</v>
      </c>
      <c r="I41" s="262"/>
      <c r="J41" s="260">
        <f>+J36/J42</f>
        <v>0.22438044672819737</v>
      </c>
      <c r="K41" s="262"/>
      <c r="L41" s="260">
        <f>+L36/L42</f>
        <v>9.952702453907665E-2</v>
      </c>
      <c r="M41" s="9"/>
      <c r="N41" s="4"/>
    </row>
    <row r="42" spans="1:17" ht="19.5" thickTop="1" thickBot="1" x14ac:dyDescent="0.45">
      <c r="A42" s="11"/>
      <c r="B42" s="23" t="s">
        <v>166</v>
      </c>
      <c r="C42" s="11"/>
      <c r="D42" s="264"/>
      <c r="E42" s="264"/>
      <c r="F42" s="234">
        <v>5638571361</v>
      </c>
      <c r="G42" s="235"/>
      <c r="H42" s="234">
        <v>5637604866</v>
      </c>
      <c r="I42" s="236"/>
      <c r="J42" s="234">
        <v>5638571361</v>
      </c>
      <c r="K42" s="235"/>
      <c r="L42" s="234">
        <v>5637604866</v>
      </c>
      <c r="M42" s="9"/>
      <c r="N42" s="4"/>
    </row>
    <row r="43" spans="1:17" ht="6.75" customHeight="1" thickTop="1" x14ac:dyDescent="0.4">
      <c r="A43" s="11"/>
      <c r="B43" s="11"/>
      <c r="C43" s="11"/>
      <c r="D43" s="264"/>
      <c r="E43" s="264"/>
      <c r="F43" s="218"/>
      <c r="G43" s="218"/>
      <c r="H43" s="218"/>
      <c r="I43" s="197"/>
      <c r="J43" s="201"/>
      <c r="K43" s="197"/>
      <c r="L43" s="201"/>
      <c r="M43" s="9"/>
      <c r="N43" s="4"/>
    </row>
    <row r="44" spans="1:17" ht="14.25" customHeight="1" x14ac:dyDescent="0.4">
      <c r="A44" s="247" t="s">
        <v>264</v>
      </c>
      <c r="B44" s="11"/>
      <c r="C44" s="11"/>
      <c r="D44" s="37"/>
      <c r="E44" s="264"/>
      <c r="F44" s="200"/>
      <c r="G44" s="200"/>
      <c r="H44" s="200"/>
      <c r="I44" s="197"/>
      <c r="J44" s="202"/>
      <c r="K44" s="206"/>
      <c r="L44" s="202"/>
      <c r="M44" s="9"/>
      <c r="N44" s="9"/>
      <c r="O44" s="3"/>
      <c r="P44" s="3"/>
      <c r="Q44" s="3"/>
    </row>
    <row r="45" spans="1:17" ht="18.75" thickBot="1" x14ac:dyDescent="0.45">
      <c r="A45" s="11"/>
      <c r="B45" s="23" t="s">
        <v>214</v>
      </c>
      <c r="C45" s="11"/>
      <c r="D45" s="264">
        <v>17</v>
      </c>
      <c r="E45" s="264"/>
      <c r="F45" s="260">
        <f>+F36/F46</f>
        <v>0.12763745167854826</v>
      </c>
      <c r="G45" s="261"/>
      <c r="H45" s="260">
        <f>+H36/H46</f>
        <v>8.0969372428521622E-4</v>
      </c>
      <c r="I45" s="262"/>
      <c r="J45" s="260">
        <f>+J36/J46</f>
        <v>0.21926636116043399</v>
      </c>
      <c r="K45" s="262"/>
      <c r="L45" s="260">
        <f>+L36/L46</f>
        <v>9.952702453907665E-2</v>
      </c>
      <c r="M45" s="9"/>
      <c r="N45" s="4"/>
    </row>
    <row r="46" spans="1:17" ht="19.5" thickTop="1" thickBot="1" x14ac:dyDescent="0.45">
      <c r="A46" s="11"/>
      <c r="B46" s="23" t="s">
        <v>166</v>
      </c>
      <c r="C46" s="11"/>
      <c r="D46" s="264"/>
      <c r="E46" s="264"/>
      <c r="F46" s="237">
        <v>5770083264</v>
      </c>
      <c r="G46" s="238"/>
      <c r="H46" s="237">
        <v>5637604866</v>
      </c>
      <c r="I46" s="236"/>
      <c r="J46" s="234">
        <v>5770083264</v>
      </c>
      <c r="K46" s="235"/>
      <c r="L46" s="234">
        <v>5637604866</v>
      </c>
      <c r="M46" s="9"/>
      <c r="N46" s="4"/>
    </row>
    <row r="47" spans="1:17" ht="8.25" customHeight="1" thickTop="1" x14ac:dyDescent="0.4">
      <c r="A47" s="11"/>
      <c r="B47" s="11"/>
      <c r="C47" s="11"/>
      <c r="D47" s="264"/>
      <c r="E47" s="264"/>
      <c r="F47" s="264"/>
      <c r="G47" s="264"/>
      <c r="H47" s="264"/>
      <c r="I47" s="11"/>
      <c r="J47" s="14"/>
      <c r="K47" s="11"/>
      <c r="L47" s="14"/>
      <c r="M47" s="9"/>
      <c r="N47" s="4"/>
    </row>
    <row r="48" spans="1:17" x14ac:dyDescent="0.4">
      <c r="A48" s="18" t="s">
        <v>292</v>
      </c>
      <c r="B48" s="11"/>
      <c r="C48" s="11"/>
      <c r="D48" s="264"/>
      <c r="E48" s="264"/>
      <c r="F48" s="264"/>
      <c r="G48" s="264"/>
      <c r="H48" s="264"/>
      <c r="I48" s="11"/>
      <c r="J48" s="14"/>
      <c r="K48" s="11"/>
      <c r="L48" s="14"/>
      <c r="M48" s="9"/>
      <c r="N48" s="4"/>
    </row>
    <row r="49" spans="1:17" ht="16.5" customHeight="1" x14ac:dyDescent="0.4">
      <c r="A49" s="11"/>
      <c r="B49" s="11"/>
      <c r="C49" s="11"/>
      <c r="D49" s="264"/>
      <c r="E49" s="264"/>
      <c r="F49" s="264"/>
      <c r="G49" s="264"/>
      <c r="H49" s="264"/>
      <c r="I49" s="11"/>
      <c r="J49" s="14"/>
      <c r="K49" s="11"/>
      <c r="L49" s="14"/>
      <c r="M49" s="9"/>
      <c r="N49" s="4"/>
    </row>
    <row r="50" spans="1:17" ht="16.5" customHeight="1" x14ac:dyDescent="0.4">
      <c r="A50" s="11"/>
      <c r="B50" s="11"/>
      <c r="C50" s="11"/>
      <c r="D50" s="264"/>
      <c r="E50" s="264"/>
      <c r="F50" s="264"/>
      <c r="G50" s="264"/>
      <c r="H50" s="264"/>
      <c r="I50" s="11"/>
      <c r="J50" s="14"/>
      <c r="K50" s="11"/>
      <c r="L50" s="14"/>
      <c r="M50" s="9"/>
      <c r="N50" s="4"/>
    </row>
    <row r="51" spans="1:17" x14ac:dyDescent="0.4">
      <c r="A51" s="264"/>
      <c r="B51" s="31" t="s">
        <v>146</v>
      </c>
      <c r="C51" s="264"/>
      <c r="D51" s="31"/>
      <c r="E51" s="264"/>
      <c r="F51" s="31" t="s">
        <v>146</v>
      </c>
      <c r="G51" s="264"/>
      <c r="H51" s="264"/>
      <c r="I51" s="264"/>
      <c r="J51" s="264"/>
      <c r="K51" s="264"/>
      <c r="L51" s="264"/>
      <c r="N51" s="3"/>
      <c r="O51" s="3"/>
      <c r="P51" s="3"/>
      <c r="Q51" s="3"/>
    </row>
    <row r="52" spans="1:17" ht="11.25" customHeight="1" x14ac:dyDescent="0.4">
      <c r="A52" s="274"/>
      <c r="B52" s="274"/>
      <c r="C52" s="274"/>
      <c r="D52" s="274"/>
      <c r="E52" s="274"/>
      <c r="F52" s="274"/>
      <c r="G52" s="274"/>
      <c r="H52" s="274"/>
      <c r="I52" s="274"/>
      <c r="J52" s="274"/>
      <c r="K52" s="274"/>
      <c r="L52" s="274"/>
      <c r="N52" s="3"/>
      <c r="O52" s="3"/>
      <c r="P52" s="3"/>
      <c r="Q52" s="3"/>
    </row>
    <row r="53" spans="1:17" x14ac:dyDescent="0.4">
      <c r="A53" s="5" t="s">
        <v>205</v>
      </c>
      <c r="B53" s="11"/>
      <c r="C53" s="11"/>
      <c r="D53" s="40"/>
      <c r="E53" s="40"/>
      <c r="F53" s="21"/>
      <c r="G53" s="40"/>
      <c r="H53" s="21"/>
      <c r="I53" s="11"/>
      <c r="J53" s="21"/>
      <c r="K53" s="21"/>
      <c r="L53" s="265"/>
      <c r="N53" s="3"/>
      <c r="O53" s="3"/>
      <c r="P53" s="3"/>
      <c r="Q53" s="3"/>
    </row>
    <row r="54" spans="1:17" x14ac:dyDescent="0.4">
      <c r="A54" s="11"/>
      <c r="B54" s="11"/>
      <c r="C54" s="11"/>
      <c r="D54" s="40"/>
      <c r="E54" s="40"/>
      <c r="F54" s="21"/>
      <c r="G54" s="40"/>
      <c r="H54" s="21"/>
      <c r="I54" s="11"/>
      <c r="J54" s="21"/>
      <c r="K54" s="18"/>
      <c r="L54" s="153"/>
    </row>
    <row r="55" spans="1:17" x14ac:dyDescent="0.4">
      <c r="A55" s="275" t="str">
        <f>A3</f>
        <v>THE BROOKER GROUP PUBLIC COMPANY LIMITED AND ITS SUBSIDIARIES</v>
      </c>
      <c r="B55" s="275"/>
      <c r="C55" s="275"/>
      <c r="D55" s="275"/>
      <c r="E55" s="275"/>
      <c r="F55" s="275"/>
      <c r="G55" s="275"/>
      <c r="H55" s="275"/>
      <c r="I55" s="275"/>
      <c r="J55" s="275"/>
      <c r="K55" s="275"/>
      <c r="L55" s="275"/>
    </row>
    <row r="56" spans="1:17" x14ac:dyDescent="0.4">
      <c r="A56" s="275" t="s">
        <v>239</v>
      </c>
      <c r="B56" s="275"/>
      <c r="C56" s="275"/>
      <c r="D56" s="275"/>
      <c r="E56" s="275"/>
      <c r="F56" s="275"/>
      <c r="G56" s="275"/>
      <c r="H56" s="275"/>
      <c r="I56" s="275"/>
      <c r="J56" s="275"/>
      <c r="K56" s="275"/>
      <c r="L56" s="275"/>
    </row>
    <row r="57" spans="1:17" x14ac:dyDescent="0.4">
      <c r="A57" s="275" t="str">
        <f>A5</f>
        <v>FOR  THE YEAR ENDED DECEMBER 31, 2019</v>
      </c>
      <c r="B57" s="275"/>
      <c r="C57" s="275"/>
      <c r="D57" s="275"/>
      <c r="E57" s="275"/>
      <c r="F57" s="275"/>
      <c r="G57" s="275"/>
      <c r="H57" s="275"/>
      <c r="I57" s="275"/>
      <c r="J57" s="275"/>
      <c r="K57" s="275"/>
      <c r="L57" s="275"/>
    </row>
    <row r="58" spans="1:17" x14ac:dyDescent="0.4">
      <c r="A58" s="11"/>
      <c r="B58" s="11"/>
      <c r="C58" s="263"/>
      <c r="F58" s="276" t="s">
        <v>132</v>
      </c>
      <c r="G58" s="276"/>
      <c r="H58" s="276"/>
      <c r="I58" s="276"/>
      <c r="J58" s="276"/>
      <c r="K58" s="276"/>
      <c r="L58" s="276"/>
    </row>
    <row r="59" spans="1:17" ht="18.75" x14ac:dyDescent="0.4">
      <c r="A59" s="11"/>
      <c r="B59" s="11"/>
      <c r="C59" s="11" t="s">
        <v>4</v>
      </c>
      <c r="F59" s="273" t="s">
        <v>210</v>
      </c>
      <c r="G59" s="273"/>
      <c r="H59" s="273"/>
      <c r="I59" s="97"/>
      <c r="J59" s="273" t="s">
        <v>211</v>
      </c>
      <c r="K59" s="273"/>
      <c r="L59" s="273"/>
    </row>
    <row r="60" spans="1:17" ht="18.75" x14ac:dyDescent="0.4">
      <c r="A60" s="11"/>
      <c r="B60" s="11"/>
      <c r="C60" s="11"/>
      <c r="F60" s="273" t="str">
        <f>+F8</f>
        <v>For the years ended December 31</v>
      </c>
      <c r="G60" s="273"/>
      <c r="H60" s="273"/>
      <c r="I60" s="97"/>
      <c r="J60" s="273" t="str">
        <f>+J8</f>
        <v>For the years ended December 31</v>
      </c>
      <c r="K60" s="273"/>
      <c r="L60" s="273"/>
    </row>
    <row r="61" spans="1:17" x14ac:dyDescent="0.4">
      <c r="A61" s="11"/>
      <c r="B61" s="11"/>
      <c r="C61" s="11"/>
      <c r="D61" s="150" t="s">
        <v>133</v>
      </c>
      <c r="E61" s="8"/>
      <c r="F61" s="150">
        <f>+F9</f>
        <v>2019</v>
      </c>
      <c r="H61" s="150">
        <f>+H9</f>
        <v>2018</v>
      </c>
      <c r="J61" s="150">
        <f>+J9</f>
        <v>2019</v>
      </c>
      <c r="K61" s="7"/>
      <c r="L61" s="150">
        <f>+L9</f>
        <v>2018</v>
      </c>
    </row>
    <row r="62" spans="1:17" x14ac:dyDescent="0.4">
      <c r="A62" s="154"/>
      <c r="B62" s="11"/>
      <c r="C62" s="11"/>
      <c r="D62" s="264"/>
      <c r="E62" s="264"/>
      <c r="F62" s="13"/>
      <c r="G62" s="13"/>
      <c r="H62" s="266"/>
      <c r="I62" s="11"/>
      <c r="J62" s="14"/>
      <c r="K62" s="11"/>
      <c r="L62" s="266"/>
    </row>
    <row r="63" spans="1:17" x14ac:dyDescent="0.4">
      <c r="A63" s="11" t="s">
        <v>298</v>
      </c>
      <c r="B63" s="11"/>
      <c r="C63" s="11"/>
      <c r="D63" s="264"/>
      <c r="E63" s="264"/>
      <c r="F63" s="224">
        <f>+F33</f>
        <v>736988327.84000003</v>
      </c>
      <c r="G63" s="200"/>
      <c r="H63" s="224">
        <f>+H33</f>
        <v>3211457.549999997</v>
      </c>
      <c r="I63" s="197"/>
      <c r="J63" s="224">
        <f>+J33</f>
        <v>1265185160.8899999</v>
      </c>
      <c r="K63" s="197"/>
      <c r="L63" s="224">
        <f>+L33</f>
        <v>561094037.83999991</v>
      </c>
    </row>
    <row r="64" spans="1:17" x14ac:dyDescent="0.4">
      <c r="A64" s="11"/>
      <c r="B64" s="11"/>
      <c r="C64" s="11"/>
      <c r="D64" s="264"/>
      <c r="E64" s="264"/>
      <c r="F64" s="207"/>
      <c r="G64" s="200"/>
      <c r="H64" s="207"/>
      <c r="I64" s="197"/>
      <c r="J64" s="207"/>
      <c r="K64" s="197"/>
      <c r="L64" s="207"/>
    </row>
    <row r="65" spans="1:12" x14ac:dyDescent="0.4">
      <c r="A65" s="11" t="s">
        <v>255</v>
      </c>
      <c r="B65" s="11"/>
      <c r="C65" s="11"/>
      <c r="D65" s="264"/>
      <c r="E65" s="264"/>
      <c r="F65" s="207"/>
      <c r="G65" s="200"/>
      <c r="H65" s="207"/>
      <c r="I65" s="197"/>
      <c r="J65" s="202"/>
      <c r="K65" s="197"/>
      <c r="L65" s="202"/>
    </row>
    <row r="66" spans="1:12" x14ac:dyDescent="0.4">
      <c r="A66" s="11" t="s">
        <v>326</v>
      </c>
      <c r="B66" s="253"/>
      <c r="C66" s="253"/>
      <c r="D66" s="264"/>
      <c r="E66" s="264"/>
      <c r="F66" s="230"/>
      <c r="G66" s="200"/>
      <c r="H66" s="5"/>
      <c r="J66" s="5"/>
      <c r="L66" s="5"/>
    </row>
    <row r="67" spans="1:12" x14ac:dyDescent="0.4">
      <c r="A67" s="253"/>
      <c r="B67" s="11" t="s">
        <v>327</v>
      </c>
      <c r="C67" s="253"/>
      <c r="D67" s="264"/>
      <c r="E67" s="264"/>
      <c r="F67" s="230"/>
      <c r="G67" s="200"/>
      <c r="H67" s="230"/>
      <c r="I67" s="197"/>
      <c r="J67" s="202"/>
      <c r="K67" s="197"/>
      <c r="L67" s="202"/>
    </row>
    <row r="68" spans="1:12" x14ac:dyDescent="0.4">
      <c r="A68" s="11"/>
      <c r="B68" s="182" t="s">
        <v>285</v>
      </c>
      <c r="C68" s="11"/>
      <c r="D68" s="264"/>
      <c r="E68" s="264"/>
      <c r="F68" s="230">
        <v>-16308759.43</v>
      </c>
      <c r="G68" s="200"/>
      <c r="H68" s="230">
        <v>-20654545.370000001</v>
      </c>
      <c r="I68" s="197"/>
      <c r="J68" s="202">
        <v>0</v>
      </c>
      <c r="K68" s="197"/>
      <c r="L68" s="202">
        <v>0</v>
      </c>
    </row>
    <row r="69" spans="1:12" ht="5.25" customHeight="1" x14ac:dyDescent="0.4">
      <c r="A69" s="11"/>
      <c r="B69" s="182"/>
      <c r="C69" s="11"/>
      <c r="D69" s="264"/>
      <c r="E69" s="264"/>
      <c r="F69" s="230"/>
      <c r="G69" s="200"/>
      <c r="H69" s="230"/>
      <c r="I69" s="197"/>
      <c r="J69" s="202"/>
      <c r="K69" s="197"/>
      <c r="L69" s="202"/>
    </row>
    <row r="70" spans="1:12" x14ac:dyDescent="0.4">
      <c r="A70" s="11" t="s">
        <v>328</v>
      </c>
      <c r="B70" s="253"/>
      <c r="C70" s="11"/>
      <c r="D70" s="264"/>
      <c r="E70" s="264"/>
      <c r="F70" s="230"/>
      <c r="G70" s="200"/>
      <c r="H70" s="230"/>
      <c r="I70" s="197"/>
      <c r="J70" s="202"/>
      <c r="K70" s="197"/>
      <c r="L70" s="202"/>
    </row>
    <row r="71" spans="1:12" x14ac:dyDescent="0.4">
      <c r="A71" s="253"/>
      <c r="B71" s="11" t="s">
        <v>327</v>
      </c>
      <c r="C71" s="11"/>
      <c r="D71" s="264"/>
      <c r="E71" s="264"/>
      <c r="F71" s="230"/>
      <c r="G71" s="200"/>
      <c r="H71" s="230"/>
      <c r="I71" s="197"/>
      <c r="J71" s="202"/>
      <c r="K71" s="197"/>
      <c r="L71" s="202"/>
    </row>
    <row r="72" spans="1:12" x14ac:dyDescent="0.4">
      <c r="A72" s="11"/>
      <c r="B72" s="11" t="s">
        <v>329</v>
      </c>
      <c r="C72" s="11"/>
      <c r="D72" s="264">
        <v>16</v>
      </c>
      <c r="E72" s="264"/>
      <c r="F72" s="230">
        <v>0</v>
      </c>
      <c r="G72" s="200"/>
      <c r="H72" s="230">
        <v>4326999</v>
      </c>
      <c r="I72" s="197"/>
      <c r="J72" s="202">
        <v>0</v>
      </c>
      <c r="K72" s="197"/>
      <c r="L72" s="202">
        <v>3731511</v>
      </c>
    </row>
    <row r="73" spans="1:12" x14ac:dyDescent="0.4">
      <c r="A73" s="11"/>
      <c r="B73" s="11" t="s">
        <v>330</v>
      </c>
      <c r="C73" s="11"/>
      <c r="D73" s="264"/>
      <c r="E73" s="264"/>
      <c r="F73" s="224">
        <v>0</v>
      </c>
      <c r="G73" s="200"/>
      <c r="H73" s="224">
        <v>-865399.8</v>
      </c>
      <c r="I73" s="197"/>
      <c r="J73" s="199">
        <v>0</v>
      </c>
      <c r="K73" s="197"/>
      <c r="L73" s="199">
        <v>-746302.2</v>
      </c>
    </row>
    <row r="74" spans="1:12" x14ac:dyDescent="0.4">
      <c r="A74" s="11" t="s">
        <v>299</v>
      </c>
      <c r="B74" s="11"/>
      <c r="C74" s="11"/>
      <c r="D74" s="264"/>
      <c r="E74" s="264"/>
      <c r="F74" s="228">
        <f>SUM(F66:F73)</f>
        <v>-16308759.43</v>
      </c>
      <c r="G74" s="200"/>
      <c r="H74" s="228">
        <f>SUM(H67:H73)</f>
        <v>-17192946.170000002</v>
      </c>
      <c r="I74" s="197"/>
      <c r="J74" s="228">
        <f>SUM(J67:J73)</f>
        <v>0</v>
      </c>
      <c r="K74" s="197"/>
      <c r="L74" s="228">
        <f>SUM(L67:L73)</f>
        <v>2985208.8</v>
      </c>
    </row>
    <row r="75" spans="1:12" x14ac:dyDescent="0.4">
      <c r="A75" s="11"/>
      <c r="B75" s="11"/>
      <c r="C75" s="11"/>
      <c r="D75" s="264"/>
      <c r="E75" s="264"/>
      <c r="F75" s="207"/>
      <c r="G75" s="200"/>
      <c r="H75" s="207"/>
      <c r="I75" s="197"/>
      <c r="J75" s="201"/>
      <c r="K75" s="197"/>
      <c r="L75" s="201"/>
    </row>
    <row r="76" spans="1:12" ht="18.75" thickBot="1" x14ac:dyDescent="0.45">
      <c r="A76" s="11" t="s">
        <v>300</v>
      </c>
      <c r="B76" s="11"/>
      <c r="C76" s="11"/>
      <c r="D76" s="264"/>
      <c r="E76" s="264"/>
      <c r="F76" s="217">
        <f>+F63+F74</f>
        <v>720679568.41000009</v>
      </c>
      <c r="G76" s="200"/>
      <c r="H76" s="217">
        <f>+H63+H74</f>
        <v>-13981488.620000005</v>
      </c>
      <c r="I76" s="197"/>
      <c r="J76" s="217">
        <f>+J63+J74</f>
        <v>1265185160.8899999</v>
      </c>
      <c r="K76" s="197"/>
      <c r="L76" s="217">
        <f>+L63+L74</f>
        <v>564079246.63999987</v>
      </c>
    </row>
    <row r="77" spans="1:12" ht="18.75" thickTop="1" x14ac:dyDescent="0.4">
      <c r="A77" s="11"/>
      <c r="B77" s="11"/>
      <c r="C77" s="11"/>
      <c r="D77" s="264"/>
      <c r="E77" s="264"/>
      <c r="F77" s="218"/>
      <c r="G77" s="218"/>
      <c r="H77" s="218"/>
      <c r="I77" s="197"/>
      <c r="J77" s="201"/>
      <c r="K77" s="197"/>
      <c r="L77" s="201"/>
    </row>
    <row r="78" spans="1:12" ht="18.75" x14ac:dyDescent="0.4">
      <c r="A78" s="23" t="s">
        <v>256</v>
      </c>
      <c r="B78" s="23"/>
      <c r="C78" s="23"/>
      <c r="D78" s="184"/>
      <c r="E78" s="185"/>
      <c r="F78" s="227"/>
      <c r="G78" s="229"/>
      <c r="H78" s="227"/>
      <c r="I78" s="226"/>
      <c r="J78" s="227"/>
      <c r="K78" s="229"/>
      <c r="L78" s="229"/>
    </row>
    <row r="79" spans="1:12" ht="18.75" x14ac:dyDescent="0.4">
      <c r="A79" s="23"/>
      <c r="B79" s="23" t="s">
        <v>254</v>
      </c>
      <c r="C79" s="23"/>
      <c r="D79" s="184"/>
      <c r="E79" s="186">
        <v>852812933</v>
      </c>
      <c r="F79" s="230">
        <f>+F76-F80</f>
        <v>720169964.36000013</v>
      </c>
      <c r="G79" s="220"/>
      <c r="H79" s="230">
        <f>+H76-H80</f>
        <v>-12628212.890000004</v>
      </c>
      <c r="I79" s="220"/>
      <c r="J79" s="230">
        <f>+J76-J80</f>
        <v>1265185160.8899999</v>
      </c>
      <c r="K79" s="220"/>
      <c r="L79" s="230">
        <f>+L76-L80</f>
        <v>564079246.63999987</v>
      </c>
    </row>
    <row r="80" spans="1:12" ht="18.75" x14ac:dyDescent="0.4">
      <c r="A80" s="23"/>
      <c r="B80" s="11" t="s">
        <v>246</v>
      </c>
      <c r="C80" s="11"/>
      <c r="D80" s="184"/>
      <c r="E80" s="186">
        <v>-1541152</v>
      </c>
      <c r="F80" s="230">
        <f>+F37</f>
        <v>509604.05</v>
      </c>
      <c r="G80" s="202"/>
      <c r="H80" s="230">
        <f>+H37</f>
        <v>-1353275.73</v>
      </c>
      <c r="I80" s="226"/>
      <c r="J80" s="230">
        <f>+J37</f>
        <v>0</v>
      </c>
      <c r="K80" s="226"/>
      <c r="L80" s="230">
        <f>+L37</f>
        <v>0</v>
      </c>
    </row>
    <row r="81" spans="1:12" ht="19.5" thickBot="1" x14ac:dyDescent="0.45">
      <c r="A81" s="99"/>
      <c r="B81" s="99"/>
      <c r="C81" s="99"/>
      <c r="D81" s="184"/>
      <c r="E81" s="186"/>
      <c r="F81" s="231">
        <f>SUM(F79:F80)</f>
        <v>720679568.41000009</v>
      </c>
      <c r="G81" s="229"/>
      <c r="H81" s="225">
        <f>SUM(H79:H80)</f>
        <v>-13981488.620000005</v>
      </c>
      <c r="I81" s="229"/>
      <c r="J81" s="231">
        <f>SUM(J79:J80)</f>
        <v>1265185160.8899999</v>
      </c>
      <c r="K81" s="229"/>
      <c r="L81" s="225">
        <f>SUM(L79:L80)</f>
        <v>564079246.63999987</v>
      </c>
    </row>
    <row r="82" spans="1:12" ht="19.5" thickTop="1" x14ac:dyDescent="0.4">
      <c r="A82" s="99"/>
      <c r="B82" s="99"/>
      <c r="C82" s="99"/>
      <c r="D82" s="184"/>
      <c r="E82" s="186"/>
      <c r="F82" s="230"/>
      <c r="G82" s="229"/>
      <c r="H82" s="220"/>
      <c r="I82" s="229"/>
      <c r="J82" s="220"/>
      <c r="K82" s="229"/>
      <c r="L82" s="220"/>
    </row>
    <row r="83" spans="1:12" ht="18.75" x14ac:dyDescent="0.4">
      <c r="A83" s="18" t="s">
        <v>292</v>
      </c>
      <c r="B83" s="99"/>
      <c r="C83" s="99"/>
      <c r="D83" s="184"/>
      <c r="E83" s="186"/>
      <c r="F83" s="230"/>
      <c r="G83" s="229"/>
      <c r="H83" s="220"/>
      <c r="I83" s="229"/>
      <c r="J83" s="220"/>
      <c r="K83" s="229"/>
      <c r="L83" s="220"/>
    </row>
    <row r="84" spans="1:12" ht="18.75" x14ac:dyDescent="0.4">
      <c r="A84" s="99"/>
      <c r="B84" s="99"/>
      <c r="C84" s="99"/>
      <c r="D84" s="184"/>
      <c r="E84" s="186"/>
      <c r="F84" s="230"/>
      <c r="G84" s="229"/>
      <c r="H84" s="220"/>
      <c r="I84" s="229"/>
      <c r="J84" s="220"/>
      <c r="K84" s="229"/>
      <c r="L84" s="220"/>
    </row>
    <row r="85" spans="1:12" ht="18.75" x14ac:dyDescent="0.4">
      <c r="A85" s="99"/>
      <c r="B85" s="99"/>
      <c r="C85" s="99"/>
      <c r="D85" s="184"/>
      <c r="E85" s="186"/>
      <c r="F85" s="230"/>
      <c r="G85" s="229"/>
      <c r="H85" s="220"/>
      <c r="I85" s="229"/>
      <c r="J85" s="220"/>
      <c r="K85" s="229"/>
      <c r="L85" s="220"/>
    </row>
    <row r="86" spans="1:12" ht="18.75" x14ac:dyDescent="0.4">
      <c r="A86" s="99"/>
      <c r="B86" s="99"/>
      <c r="C86" s="99"/>
      <c r="D86" s="184"/>
      <c r="E86" s="186"/>
      <c r="F86" s="230"/>
      <c r="G86" s="229"/>
      <c r="H86" s="220"/>
      <c r="I86" s="229"/>
      <c r="J86" s="220"/>
      <c r="K86" s="229"/>
      <c r="L86" s="220"/>
    </row>
    <row r="87" spans="1:12" ht="18.75" x14ac:dyDescent="0.4">
      <c r="A87" s="99"/>
      <c r="B87" s="99"/>
      <c r="C87" s="99"/>
      <c r="D87" s="184"/>
      <c r="E87" s="186"/>
      <c r="F87" s="230"/>
      <c r="G87" s="229"/>
      <c r="H87" s="220"/>
      <c r="I87" s="229"/>
      <c r="J87" s="220"/>
      <c r="K87" s="229"/>
      <c r="L87" s="220"/>
    </row>
    <row r="88" spans="1:12" ht="18.75" x14ac:dyDescent="0.4">
      <c r="A88" s="99"/>
      <c r="B88" s="99"/>
      <c r="C88" s="99"/>
      <c r="D88" s="184"/>
      <c r="E88" s="186"/>
      <c r="F88" s="230"/>
      <c r="G88" s="229"/>
      <c r="H88" s="220"/>
      <c r="I88" s="229"/>
      <c r="J88" s="220"/>
      <c r="K88" s="229"/>
      <c r="L88" s="220"/>
    </row>
    <row r="89" spans="1:12" ht="18.75" x14ac:dyDescent="0.4">
      <c r="A89" s="99"/>
      <c r="B89" s="99"/>
      <c r="C89" s="99"/>
      <c r="D89" s="184"/>
      <c r="E89" s="186"/>
      <c r="F89" s="230"/>
      <c r="G89" s="229"/>
      <c r="H89" s="220"/>
      <c r="I89" s="229"/>
      <c r="J89" s="220"/>
      <c r="K89" s="229"/>
      <c r="L89" s="220"/>
    </row>
    <row r="90" spans="1:12" ht="18.75" x14ac:dyDescent="0.4">
      <c r="A90" s="99"/>
      <c r="B90" s="99"/>
      <c r="C90" s="99"/>
      <c r="D90" s="184"/>
      <c r="E90" s="186"/>
      <c r="F90" s="230"/>
      <c r="G90" s="229"/>
      <c r="H90" s="220"/>
      <c r="I90" s="229"/>
      <c r="J90" s="220"/>
      <c r="K90" s="229"/>
      <c r="L90" s="220"/>
    </row>
    <row r="91" spans="1:12" ht="18.75" x14ac:dyDescent="0.4">
      <c r="A91" s="99"/>
      <c r="B91" s="99"/>
      <c r="C91" s="99"/>
      <c r="D91" s="184"/>
      <c r="E91" s="186"/>
      <c r="F91" s="230"/>
      <c r="G91" s="229"/>
      <c r="H91" s="220"/>
      <c r="I91" s="229"/>
      <c r="J91" s="220"/>
      <c r="K91" s="229"/>
      <c r="L91" s="220"/>
    </row>
    <row r="92" spans="1:12" ht="18.75" x14ac:dyDescent="0.4">
      <c r="A92" s="99"/>
      <c r="B92" s="99"/>
      <c r="C92" s="99"/>
      <c r="D92" s="184"/>
      <c r="E92" s="186"/>
      <c r="F92" s="230"/>
      <c r="G92" s="229"/>
      <c r="H92" s="220"/>
      <c r="I92" s="229"/>
      <c r="J92" s="220"/>
      <c r="K92" s="229"/>
      <c r="L92" s="220"/>
    </row>
    <row r="93" spans="1:12" ht="18.75" x14ac:dyDescent="0.4">
      <c r="A93" s="99"/>
      <c r="B93" s="99"/>
      <c r="C93" s="99"/>
      <c r="D93" s="184"/>
      <c r="E93" s="186"/>
      <c r="F93" s="230"/>
      <c r="G93" s="229"/>
      <c r="H93" s="220"/>
      <c r="I93" s="229"/>
      <c r="J93" s="220"/>
      <c r="K93" s="229"/>
      <c r="L93" s="220"/>
    </row>
    <row r="94" spans="1:12" ht="18.75" x14ac:dyDescent="0.4">
      <c r="A94" s="99"/>
      <c r="B94" s="99"/>
      <c r="C94" s="99"/>
      <c r="D94" s="184"/>
      <c r="E94" s="186"/>
      <c r="F94" s="230"/>
      <c r="G94" s="229"/>
      <c r="H94" s="220"/>
      <c r="I94" s="229"/>
      <c r="J94" s="220"/>
      <c r="K94" s="229"/>
      <c r="L94" s="220"/>
    </row>
    <row r="95" spans="1:12" ht="18.75" x14ac:dyDescent="0.4">
      <c r="A95" s="99"/>
      <c r="B95" s="99"/>
      <c r="C95" s="99"/>
      <c r="D95" s="184"/>
      <c r="E95" s="186"/>
      <c r="F95" s="230"/>
      <c r="G95" s="229"/>
      <c r="H95" s="220"/>
      <c r="I95" s="229"/>
      <c r="J95" s="220"/>
      <c r="K95" s="229"/>
      <c r="L95" s="220"/>
    </row>
    <row r="96" spans="1:12" ht="18.75" x14ac:dyDescent="0.4">
      <c r="A96" s="99"/>
      <c r="B96" s="99"/>
      <c r="C96" s="99"/>
      <c r="D96" s="184"/>
      <c r="E96" s="186"/>
      <c r="F96" s="30"/>
      <c r="G96" s="186"/>
      <c r="H96" s="20"/>
      <c r="I96" s="186"/>
      <c r="J96" s="20"/>
      <c r="K96" s="186"/>
      <c r="L96" s="20"/>
    </row>
    <row r="97" spans="1:12" x14ac:dyDescent="0.4">
      <c r="A97" s="158"/>
      <c r="B97" s="11"/>
      <c r="C97" s="11"/>
      <c r="D97" s="264"/>
      <c r="E97" s="264"/>
      <c r="F97" s="264"/>
      <c r="G97" s="264"/>
      <c r="H97" s="264"/>
      <c r="I97" s="11"/>
      <c r="J97" s="14"/>
      <c r="K97" s="11"/>
      <c r="L97" s="14"/>
    </row>
    <row r="98" spans="1:12" x14ac:dyDescent="0.4">
      <c r="A98" s="11"/>
      <c r="B98" s="11"/>
      <c r="C98" s="11"/>
      <c r="D98" s="264"/>
      <c r="E98" s="264"/>
      <c r="F98" s="264"/>
      <c r="G98" s="264"/>
      <c r="H98" s="264"/>
      <c r="I98" s="11"/>
      <c r="J98" s="14"/>
      <c r="K98" s="11"/>
      <c r="L98" s="14"/>
    </row>
    <row r="99" spans="1:12" x14ac:dyDescent="0.4">
      <c r="A99" s="264"/>
      <c r="B99" s="31" t="s">
        <v>146</v>
      </c>
      <c r="C99" s="264"/>
      <c r="D99" s="31"/>
      <c r="E99" s="264"/>
      <c r="F99" s="31" t="s">
        <v>146</v>
      </c>
      <c r="G99" s="264"/>
      <c r="H99" s="264"/>
      <c r="I99" s="264"/>
      <c r="J99" s="264"/>
      <c r="K99" s="264"/>
      <c r="L99" s="264"/>
    </row>
    <row r="100" spans="1:12" x14ac:dyDescent="0.4">
      <c r="A100" s="274"/>
      <c r="B100" s="274"/>
      <c r="C100" s="274"/>
      <c r="D100" s="274"/>
      <c r="E100" s="274"/>
      <c r="F100" s="274"/>
      <c r="G100" s="274"/>
      <c r="H100" s="274"/>
      <c r="I100" s="274"/>
      <c r="J100" s="274"/>
      <c r="K100" s="274"/>
      <c r="L100" s="274"/>
    </row>
    <row r="101" spans="1:12" x14ac:dyDescent="0.4">
      <c r="A101" s="274"/>
      <c r="B101" s="274"/>
      <c r="C101" s="274"/>
      <c r="D101" s="274"/>
      <c r="E101" s="274"/>
      <c r="F101" s="274"/>
      <c r="G101" s="274"/>
      <c r="H101" s="274"/>
      <c r="I101" s="274"/>
      <c r="J101" s="274"/>
      <c r="K101" s="274"/>
      <c r="L101" s="274"/>
    </row>
  </sheetData>
  <mergeCells count="19">
    <mergeCell ref="A101:L101"/>
    <mergeCell ref="A100:L100"/>
    <mergeCell ref="A56:L56"/>
    <mergeCell ref="A57:L57"/>
    <mergeCell ref="F60:H60"/>
    <mergeCell ref="J60:L60"/>
    <mergeCell ref="F58:L58"/>
    <mergeCell ref="F59:H59"/>
    <mergeCell ref="J59:L59"/>
    <mergeCell ref="A55:L55"/>
    <mergeCell ref="A3:L3"/>
    <mergeCell ref="A4:L4"/>
    <mergeCell ref="A5:L5"/>
    <mergeCell ref="A52:L52"/>
    <mergeCell ref="F7:H7"/>
    <mergeCell ref="J7:L7"/>
    <mergeCell ref="F8:H8"/>
    <mergeCell ref="F6:L6"/>
    <mergeCell ref="J8:L8"/>
  </mergeCells>
  <phoneticPr fontId="0" type="noConversion"/>
  <conditionalFormatting sqref="F78:L78 G37 I37:K37 K80:K96 I80:I96 G80:G96 E78:E96">
    <cfRule type="expression" priority="3" stopIfTrue="1">
      <formula>"if(E11&gt;0,#,##0;(#,##0),"-")"</formula>
    </cfRule>
  </conditionalFormatting>
  <conditionalFormatting sqref="L37">
    <cfRule type="expression" priority="1" stopIfTrue="1">
      <formula>"if(E11&gt;0,#,##0;(#,##0),"-")"</formula>
    </cfRule>
  </conditionalFormatting>
  <pageMargins left="0.69488189" right="0" top="0.511811023622047" bottom="0.27" header="0.35433070866141703" footer="0"/>
  <pageSetup paperSize="9" scale="96" firstPageNumber="6" orientation="portrait" useFirstPageNumber="1" r:id="rId1"/>
  <headerFooter alignWithMargins="0">
    <oddFooter>&amp;C&amp;P</oddFooter>
  </headerFooter>
  <rowBreaks count="1" manualBreakCount="1">
    <brk id="52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K42"/>
  <sheetViews>
    <sheetView view="pageBreakPreview" zoomScale="120" zoomScaleNormal="100" zoomScaleSheetLayoutView="120" workbookViewId="0">
      <selection activeCell="A19" sqref="A19"/>
    </sheetView>
  </sheetViews>
  <sheetFormatPr defaultRowHeight="18" x14ac:dyDescent="0.4"/>
  <cols>
    <col min="1" max="1" width="35.140625" style="11" customWidth="1"/>
    <col min="2" max="2" width="5.140625" style="11" customWidth="1"/>
    <col min="3" max="3" width="1.140625" style="11" customWidth="1"/>
    <col min="4" max="4" width="11.85546875" style="11" customWidth="1"/>
    <col min="5" max="5" width="1.140625" style="11" customWidth="1"/>
    <col min="6" max="6" width="10.85546875" style="11" hidden="1" customWidth="1"/>
    <col min="7" max="7" width="1.140625" style="11" hidden="1" customWidth="1"/>
    <col min="8" max="8" width="11.5703125" style="11" customWidth="1"/>
    <col min="9" max="9" width="1.140625" style="11" customWidth="1"/>
    <col min="10" max="10" width="11.85546875" style="11" customWidth="1"/>
    <col min="11" max="11" width="0.85546875" style="11" customWidth="1"/>
    <col min="12" max="12" width="11.85546875" style="11" customWidth="1"/>
    <col min="13" max="13" width="1" style="11" customWidth="1"/>
    <col min="14" max="14" width="12.7109375" style="11" customWidth="1"/>
    <col min="15" max="15" width="1" style="11" customWidth="1"/>
    <col min="16" max="16" width="13.42578125" style="11" customWidth="1"/>
    <col min="17" max="17" width="1" style="11" customWidth="1"/>
    <col min="18" max="18" width="11.85546875" style="11" customWidth="1"/>
    <col min="19" max="19" width="1" style="11" customWidth="1"/>
    <col min="20" max="20" width="12.85546875" style="11" customWidth="1"/>
    <col min="21" max="21" width="1.140625" style="11" customWidth="1"/>
    <col min="22" max="22" width="12.85546875" style="11" bestFit="1" customWidth="1"/>
    <col min="23" max="23" width="1.140625" style="11" customWidth="1"/>
    <col min="24" max="24" width="11.7109375" style="11" bestFit="1" customWidth="1"/>
    <col min="25" max="25" width="1.140625" style="11" customWidth="1"/>
    <col min="26" max="26" width="12.85546875" style="11" bestFit="1" customWidth="1"/>
    <col min="27" max="27" width="11.28515625" style="11" hidden="1" customWidth="1"/>
    <col min="28" max="28" width="12.42578125" style="11" bestFit="1" customWidth="1"/>
    <col min="29" max="29" width="16.85546875" style="11" customWidth="1"/>
    <col min="30" max="16384" width="9.140625" style="11"/>
  </cols>
  <sheetData>
    <row r="1" spans="1:29" ht="21.75" customHeight="1" x14ac:dyDescent="0.4">
      <c r="A1" s="5" t="s">
        <v>205</v>
      </c>
      <c r="X1" s="279"/>
      <c r="Y1" s="279"/>
      <c r="Z1" s="279"/>
    </row>
    <row r="2" spans="1:29" x14ac:dyDescent="0.4">
      <c r="A2" s="280" t="s">
        <v>131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</row>
    <row r="3" spans="1:29" x14ac:dyDescent="0.4">
      <c r="A3" s="280" t="s">
        <v>276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0"/>
      <c r="Z3" s="280"/>
      <c r="AA3" s="195"/>
      <c r="AB3" s="195"/>
    </row>
    <row r="4" spans="1:29" ht="18" customHeight="1" x14ac:dyDescent="0.4">
      <c r="A4" s="280" t="s">
        <v>212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280"/>
      <c r="V4" s="280"/>
      <c r="W4" s="280"/>
      <c r="X4" s="280"/>
      <c r="Y4" s="280"/>
      <c r="Z4" s="280"/>
    </row>
    <row r="5" spans="1:29" x14ac:dyDescent="0.4">
      <c r="A5" s="280" t="s">
        <v>357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</row>
    <row r="6" spans="1:29" ht="7.5" customHeight="1" x14ac:dyDescent="0.4">
      <c r="A6" s="241"/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</row>
    <row r="7" spans="1:29" x14ac:dyDescent="0.4">
      <c r="A7" s="36"/>
      <c r="B7" s="241"/>
      <c r="C7" s="241"/>
      <c r="D7" s="283" t="s">
        <v>167</v>
      </c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  <c r="V7" s="283"/>
      <c r="W7" s="283"/>
      <c r="X7" s="283"/>
      <c r="Y7" s="283"/>
      <c r="Z7" s="283"/>
    </row>
    <row r="8" spans="1:29" x14ac:dyDescent="0.4">
      <c r="A8" s="36"/>
      <c r="B8" s="241"/>
      <c r="C8" s="241"/>
      <c r="D8" s="28"/>
      <c r="E8" s="28"/>
      <c r="F8" s="153"/>
      <c r="G8" s="153"/>
      <c r="H8" s="153"/>
      <c r="I8" s="28"/>
      <c r="J8" s="28"/>
      <c r="K8" s="28"/>
      <c r="L8" s="281" t="s">
        <v>154</v>
      </c>
      <c r="M8" s="281"/>
      <c r="N8" s="281"/>
      <c r="O8" s="17"/>
      <c r="P8" s="282" t="s">
        <v>242</v>
      </c>
      <c r="Q8" s="282"/>
      <c r="R8" s="282"/>
      <c r="S8" s="282"/>
      <c r="T8" s="282"/>
      <c r="U8" s="10"/>
      <c r="V8" s="188"/>
      <c r="W8" s="183"/>
      <c r="X8" s="189"/>
      <c r="Y8" s="22"/>
      <c r="Z8" s="22"/>
    </row>
    <row r="9" spans="1:29" x14ac:dyDescent="0.4">
      <c r="D9" s="153"/>
      <c r="E9" s="17"/>
      <c r="F9" s="153"/>
      <c r="G9" s="153"/>
      <c r="H9" s="153"/>
      <c r="I9" s="17"/>
      <c r="J9" s="40" t="s">
        <v>319</v>
      </c>
      <c r="K9" s="17"/>
      <c r="O9" s="40"/>
      <c r="P9" s="40"/>
      <c r="Q9" s="40"/>
      <c r="R9" s="43" t="s">
        <v>335</v>
      </c>
      <c r="S9" s="43"/>
      <c r="T9" s="42"/>
      <c r="U9" s="17"/>
      <c r="V9" s="34" t="s">
        <v>274</v>
      </c>
      <c r="W9" s="42"/>
      <c r="X9" s="22"/>
    </row>
    <row r="10" spans="1:29" x14ac:dyDescent="0.4">
      <c r="B10" s="12"/>
      <c r="D10" s="40" t="s">
        <v>208</v>
      </c>
      <c r="E10" s="40"/>
      <c r="F10" s="40"/>
      <c r="G10" s="40"/>
      <c r="H10" s="40" t="s">
        <v>317</v>
      </c>
      <c r="I10" s="40"/>
      <c r="J10" s="40" t="s">
        <v>320</v>
      </c>
      <c r="K10" s="40"/>
      <c r="L10" s="40"/>
      <c r="M10" s="40"/>
      <c r="N10" s="40"/>
      <c r="O10" s="40"/>
      <c r="P10" s="40" t="s">
        <v>171</v>
      </c>
      <c r="Q10" s="40"/>
      <c r="R10" s="43" t="s">
        <v>336</v>
      </c>
      <c r="S10" s="43"/>
      <c r="T10" s="42" t="s">
        <v>244</v>
      </c>
      <c r="U10" s="17"/>
      <c r="V10" s="10" t="s">
        <v>273</v>
      </c>
      <c r="W10" s="42"/>
      <c r="X10" s="42" t="s">
        <v>240</v>
      </c>
    </row>
    <row r="11" spans="1:29" x14ac:dyDescent="0.4">
      <c r="B11" s="12"/>
      <c r="D11" s="40" t="s">
        <v>168</v>
      </c>
      <c r="E11" s="40"/>
      <c r="F11" s="40"/>
      <c r="G11" s="40"/>
      <c r="H11" s="40" t="s">
        <v>318</v>
      </c>
      <c r="I11" s="40"/>
      <c r="J11" s="40" t="s">
        <v>321</v>
      </c>
      <c r="K11" s="40"/>
      <c r="L11" s="40" t="s">
        <v>175</v>
      </c>
      <c r="M11" s="40"/>
      <c r="N11" s="40"/>
      <c r="O11" s="40"/>
      <c r="P11" s="40" t="s">
        <v>172</v>
      </c>
      <c r="Q11" s="40"/>
      <c r="R11" s="43" t="s">
        <v>337</v>
      </c>
      <c r="S11" s="43"/>
      <c r="T11" s="40" t="s">
        <v>245</v>
      </c>
      <c r="U11" s="17"/>
      <c r="V11" s="10" t="s">
        <v>231</v>
      </c>
      <c r="W11" s="42"/>
      <c r="X11" s="42" t="s">
        <v>241</v>
      </c>
    </row>
    <row r="12" spans="1:29" x14ac:dyDescent="0.4">
      <c r="B12" s="193" t="s">
        <v>230</v>
      </c>
      <c r="D12" s="49" t="s">
        <v>169</v>
      </c>
      <c r="E12" s="49"/>
      <c r="F12" s="49" t="s">
        <v>259</v>
      </c>
      <c r="G12" s="49"/>
      <c r="H12" s="49" t="s">
        <v>170</v>
      </c>
      <c r="I12" s="49"/>
      <c r="J12" s="49" t="s">
        <v>322</v>
      </c>
      <c r="K12" s="49"/>
      <c r="L12" s="49" t="s">
        <v>176</v>
      </c>
      <c r="M12" s="49"/>
      <c r="N12" s="49" t="s">
        <v>156</v>
      </c>
      <c r="O12" s="43"/>
      <c r="P12" s="49" t="s">
        <v>173</v>
      </c>
      <c r="Q12" s="43"/>
      <c r="R12" s="49" t="s">
        <v>338</v>
      </c>
      <c r="S12" s="43"/>
      <c r="T12" s="49" t="s">
        <v>243</v>
      </c>
      <c r="U12" s="17"/>
      <c r="V12" s="48" t="s">
        <v>232</v>
      </c>
      <c r="W12" s="42"/>
      <c r="X12" s="194" t="s">
        <v>265</v>
      </c>
      <c r="Z12" s="194" t="s">
        <v>177</v>
      </c>
      <c r="AC12" s="43"/>
    </row>
    <row r="13" spans="1:29" x14ac:dyDescent="0.4">
      <c r="C13" s="43"/>
      <c r="D13" s="206"/>
      <c r="E13" s="206"/>
      <c r="F13" s="206"/>
      <c r="G13" s="206"/>
      <c r="H13" s="206"/>
      <c r="I13" s="206"/>
      <c r="J13" s="206"/>
      <c r="K13" s="206"/>
      <c r="L13" s="214"/>
      <c r="M13" s="214"/>
      <c r="N13" s="215"/>
      <c r="O13" s="206"/>
      <c r="P13" s="206"/>
      <c r="Q13" s="206"/>
      <c r="R13" s="214"/>
      <c r="S13" s="214"/>
      <c r="T13" s="214"/>
      <c r="U13" s="206"/>
      <c r="V13" s="214"/>
      <c r="W13" s="214"/>
      <c r="X13" s="214"/>
      <c r="Y13" s="197"/>
      <c r="Z13" s="215"/>
    </row>
    <row r="14" spans="1:29" x14ac:dyDescent="0.4">
      <c r="A14" s="22" t="s">
        <v>342</v>
      </c>
      <c r="B14" s="44"/>
      <c r="C14" s="44"/>
      <c r="D14" s="202">
        <v>704700608.25</v>
      </c>
      <c r="E14" s="202"/>
      <c r="F14" s="202">
        <v>0</v>
      </c>
      <c r="G14" s="202"/>
      <c r="H14" s="202">
        <v>144890157.11000001</v>
      </c>
      <c r="I14" s="202"/>
      <c r="J14" s="202">
        <v>0</v>
      </c>
      <c r="K14" s="202"/>
      <c r="L14" s="202">
        <v>70591864.099999994</v>
      </c>
      <c r="M14" s="202"/>
      <c r="N14" s="202">
        <v>1508089456.55</v>
      </c>
      <c r="O14" s="202"/>
      <c r="P14" s="202">
        <v>-2584557.6800000002</v>
      </c>
      <c r="Q14" s="202"/>
      <c r="R14" s="202">
        <v>0</v>
      </c>
      <c r="S14" s="202"/>
      <c r="T14" s="202">
        <f>SUM(P14:S14)</f>
        <v>-2584557.6800000002</v>
      </c>
      <c r="U14" s="202"/>
      <c r="V14" s="202">
        <f>SUM(D14:O14)+T14</f>
        <v>2425687528.3300004</v>
      </c>
      <c r="W14" s="202"/>
      <c r="X14" s="202">
        <v>76294300.530000001</v>
      </c>
      <c r="Y14" s="206"/>
      <c r="Z14" s="202">
        <f>SUM(V14:X14)</f>
        <v>2501981828.8600006</v>
      </c>
      <c r="AB14" s="197"/>
      <c r="AC14" s="197"/>
    </row>
    <row r="15" spans="1:29" ht="6.75" customHeight="1" x14ac:dyDescent="0.4">
      <c r="A15" s="22"/>
      <c r="B15" s="34"/>
      <c r="C15" s="44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202"/>
      <c r="U15" s="202"/>
      <c r="V15" s="202"/>
      <c r="W15" s="202"/>
      <c r="X15" s="202"/>
      <c r="Y15" s="206"/>
      <c r="Z15" s="202"/>
    </row>
    <row r="16" spans="1:29" x14ac:dyDescent="0.4">
      <c r="A16" s="22" t="s">
        <v>306</v>
      </c>
      <c r="B16" s="34"/>
      <c r="C16" s="44"/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  <c r="U16" s="202"/>
      <c r="V16" s="202"/>
      <c r="W16" s="202"/>
      <c r="X16" s="202"/>
      <c r="Y16" s="206"/>
      <c r="Z16" s="202"/>
    </row>
    <row r="17" spans="1:29" x14ac:dyDescent="0.4">
      <c r="A17" s="22" t="s">
        <v>295</v>
      </c>
      <c r="B17" s="34">
        <v>19</v>
      </c>
      <c r="C17" s="44"/>
      <c r="D17" s="202">
        <v>0</v>
      </c>
      <c r="E17" s="201"/>
      <c r="F17" s="202">
        <v>0</v>
      </c>
      <c r="G17" s="202"/>
      <c r="H17" s="202">
        <v>0</v>
      </c>
      <c r="I17" s="201"/>
      <c r="J17" s="202">
        <v>0</v>
      </c>
      <c r="K17" s="202"/>
      <c r="L17" s="202">
        <v>0</v>
      </c>
      <c r="M17" s="202"/>
      <c r="N17" s="202">
        <v>-298659915.30000001</v>
      </c>
      <c r="O17" s="202"/>
      <c r="P17" s="202">
        <v>0</v>
      </c>
      <c r="Q17" s="202"/>
      <c r="R17" s="202">
        <v>0</v>
      </c>
      <c r="S17" s="202"/>
      <c r="T17" s="202">
        <f>SUM(P17:S17)</f>
        <v>0</v>
      </c>
      <c r="U17" s="202"/>
      <c r="V17" s="202">
        <f>SUM(D17:O17)+T17</f>
        <v>-298659915.30000001</v>
      </c>
      <c r="W17" s="202"/>
      <c r="X17" s="202">
        <v>0</v>
      </c>
      <c r="Y17" s="206"/>
      <c r="Z17" s="202">
        <f>SUM(V17:X17)</f>
        <v>-298659915.30000001</v>
      </c>
    </row>
    <row r="18" spans="1:29" x14ac:dyDescent="0.4">
      <c r="A18" s="22" t="s">
        <v>294</v>
      </c>
      <c r="D18" s="202">
        <v>0</v>
      </c>
      <c r="E18" s="202"/>
      <c r="F18" s="202">
        <v>0</v>
      </c>
      <c r="G18" s="202"/>
      <c r="H18" s="202">
        <v>0</v>
      </c>
      <c r="I18" s="202"/>
      <c r="J18" s="202">
        <v>0</v>
      </c>
      <c r="K18" s="202"/>
      <c r="L18" s="201">
        <v>0</v>
      </c>
      <c r="M18" s="201"/>
      <c r="N18" s="201">
        <f>+'PL_Q4-62'!H36</f>
        <v>4564733.2799999975</v>
      </c>
      <c r="O18" s="202"/>
      <c r="P18" s="202">
        <f>+'PL_Q4-62'!H68</f>
        <v>-20654545.370000001</v>
      </c>
      <c r="Q18" s="202"/>
      <c r="R18" s="201">
        <v>3461599.2</v>
      </c>
      <c r="S18" s="201"/>
      <c r="T18" s="201">
        <f>SUM(P18:S18)</f>
        <v>-17192946.170000002</v>
      </c>
      <c r="U18" s="202"/>
      <c r="V18" s="202">
        <f>SUM(D18:O18)+T18</f>
        <v>-12628212.890000004</v>
      </c>
      <c r="W18" s="202"/>
      <c r="X18" s="202">
        <v>-1353275.73</v>
      </c>
      <c r="Y18" s="206"/>
      <c r="Z18" s="202">
        <f>SUM(V18:X18)</f>
        <v>-13981488.620000005</v>
      </c>
      <c r="AB18" s="197">
        <f>N18-'PL_Q4-62'!H36</f>
        <v>0</v>
      </c>
    </row>
    <row r="19" spans="1:29" x14ac:dyDescent="0.4">
      <c r="A19" s="11" t="s">
        <v>331</v>
      </c>
      <c r="D19" s="202"/>
      <c r="E19" s="202"/>
      <c r="F19" s="202"/>
      <c r="G19" s="202"/>
      <c r="H19" s="202"/>
      <c r="I19" s="202"/>
      <c r="J19" s="202"/>
      <c r="K19" s="202"/>
      <c r="L19" s="201"/>
      <c r="M19" s="201"/>
      <c r="N19" s="201"/>
      <c r="O19" s="202"/>
      <c r="P19" s="202"/>
      <c r="Q19" s="202"/>
      <c r="R19" s="201"/>
      <c r="S19" s="201"/>
      <c r="T19" s="201"/>
      <c r="U19" s="202"/>
      <c r="V19" s="202"/>
      <c r="W19" s="202"/>
      <c r="X19" s="202"/>
      <c r="Y19" s="206"/>
      <c r="Z19" s="202"/>
      <c r="AB19" s="197"/>
    </row>
    <row r="20" spans="1:29" x14ac:dyDescent="0.4">
      <c r="A20" s="11" t="s">
        <v>332</v>
      </c>
      <c r="D20" s="202">
        <v>0</v>
      </c>
      <c r="E20" s="202"/>
      <c r="F20" s="202">
        <v>0</v>
      </c>
      <c r="G20" s="202"/>
      <c r="H20" s="202">
        <v>0</v>
      </c>
      <c r="I20" s="202"/>
      <c r="J20" s="202">
        <v>0</v>
      </c>
      <c r="K20" s="202"/>
      <c r="L20" s="201">
        <v>0</v>
      </c>
      <c r="M20" s="201"/>
      <c r="N20" s="201">
        <f>-R20</f>
        <v>3461599.2</v>
      </c>
      <c r="O20" s="202"/>
      <c r="P20" s="202">
        <f>+'PL_Q4-62'!F57</f>
        <v>0</v>
      </c>
      <c r="Q20" s="202"/>
      <c r="R20" s="201">
        <f>-R18</f>
        <v>-3461599.2</v>
      </c>
      <c r="S20" s="201"/>
      <c r="T20" s="201">
        <f>SUM(P20:S20)</f>
        <v>-3461599.2</v>
      </c>
      <c r="U20" s="202"/>
      <c r="V20" s="202">
        <f>SUM(D20:O20)+T20</f>
        <v>0</v>
      </c>
      <c r="W20" s="202"/>
      <c r="X20" s="202">
        <v>0</v>
      </c>
      <c r="Y20" s="206"/>
      <c r="Z20" s="202">
        <f>SUM(V20:X20)</f>
        <v>0</v>
      </c>
      <c r="AB20" s="197"/>
    </row>
    <row r="21" spans="1:29" s="22" customFormat="1" ht="9.75" customHeight="1" x14ac:dyDescent="0.4">
      <c r="B21" s="12"/>
      <c r="C21" s="11"/>
      <c r="D21" s="199"/>
      <c r="E21" s="206"/>
      <c r="F21" s="199"/>
      <c r="G21" s="202"/>
      <c r="H21" s="199"/>
      <c r="I21" s="206"/>
      <c r="J21" s="199"/>
      <c r="K21" s="202"/>
      <c r="L21" s="199"/>
      <c r="M21" s="216"/>
      <c r="N21" s="199"/>
      <c r="O21" s="202"/>
      <c r="P21" s="199"/>
      <c r="Q21" s="202"/>
      <c r="R21" s="199"/>
      <c r="S21" s="202"/>
      <c r="T21" s="199"/>
      <c r="U21" s="206"/>
      <c r="V21" s="199"/>
      <c r="W21" s="202"/>
      <c r="X21" s="199"/>
      <c r="Y21" s="206"/>
      <c r="Z21" s="199"/>
    </row>
    <row r="22" spans="1:29" ht="10.5" customHeight="1" x14ac:dyDescent="0.4">
      <c r="A22" s="22"/>
      <c r="D22" s="201"/>
      <c r="E22" s="201"/>
      <c r="F22" s="201"/>
      <c r="G22" s="201"/>
      <c r="H22" s="201"/>
      <c r="I22" s="201"/>
      <c r="J22" s="201"/>
      <c r="K22" s="201"/>
      <c r="L22" s="201"/>
      <c r="M22" s="201"/>
      <c r="N22" s="201"/>
      <c r="O22" s="201"/>
      <c r="P22" s="201"/>
      <c r="Q22" s="201"/>
      <c r="R22" s="201"/>
      <c r="S22" s="201"/>
      <c r="T22" s="201"/>
      <c r="U22" s="201"/>
      <c r="V22" s="202"/>
      <c r="W22" s="202"/>
      <c r="X22" s="202"/>
      <c r="Y22" s="197"/>
      <c r="Z22" s="197"/>
    </row>
    <row r="23" spans="1:29" ht="18.75" thickBot="1" x14ac:dyDescent="0.45">
      <c r="A23" s="22" t="s">
        <v>343</v>
      </c>
      <c r="D23" s="217">
        <f>SUM(D14:D22)</f>
        <v>704700608.25</v>
      </c>
      <c r="E23" s="201"/>
      <c r="F23" s="217">
        <f>SUM(F14:F22)</f>
        <v>0</v>
      </c>
      <c r="G23" s="202"/>
      <c r="H23" s="217">
        <f>SUM(H14:H22)</f>
        <v>144890157.11000001</v>
      </c>
      <c r="I23" s="201"/>
      <c r="J23" s="217">
        <f>SUM(J14:J22)</f>
        <v>0</v>
      </c>
      <c r="K23" s="202"/>
      <c r="L23" s="217">
        <f>SUM(L14:L22)</f>
        <v>70591864.099999994</v>
      </c>
      <c r="M23" s="201"/>
      <c r="N23" s="217">
        <f>SUM(N14:N22)</f>
        <v>1217455873.73</v>
      </c>
      <c r="O23" s="202"/>
      <c r="P23" s="217">
        <f>SUM(P14:P22)</f>
        <v>-23239103.050000001</v>
      </c>
      <c r="Q23" s="202"/>
      <c r="R23" s="217">
        <f>SUM(R14:R22)</f>
        <v>0</v>
      </c>
      <c r="S23" s="202"/>
      <c r="T23" s="217">
        <f>SUM(T14:T22)</f>
        <v>-23239103.050000001</v>
      </c>
      <c r="U23" s="201"/>
      <c r="V23" s="217">
        <f>SUM(V14:V22)</f>
        <v>2114399400.1400003</v>
      </c>
      <c r="W23" s="202"/>
      <c r="X23" s="217">
        <f>SUM(X14:X22)</f>
        <v>74941024.799999997</v>
      </c>
      <c r="Y23" s="197"/>
      <c r="Z23" s="217">
        <f>SUM(Z14:Z22)</f>
        <v>2189340424.9400005</v>
      </c>
      <c r="AB23" s="197">
        <f>Z23-'BS_Q4-62'!H113</f>
        <v>0</v>
      </c>
      <c r="AC23" s="197">
        <f>N23-'BS_Q4-62'!H109</f>
        <v>0</v>
      </c>
    </row>
    <row r="24" spans="1:29" ht="12" customHeight="1" thickTop="1" x14ac:dyDescent="0.4">
      <c r="A24" s="22"/>
      <c r="D24" s="197"/>
      <c r="E24" s="197"/>
      <c r="F24" s="197"/>
      <c r="G24" s="197"/>
      <c r="H24" s="197"/>
      <c r="I24" s="197"/>
      <c r="J24" s="197"/>
      <c r="K24" s="197"/>
      <c r="L24" s="197"/>
      <c r="M24" s="197"/>
      <c r="N24" s="197"/>
      <c r="O24" s="197"/>
      <c r="P24" s="197"/>
      <c r="Q24" s="197"/>
      <c r="R24" s="197"/>
      <c r="S24" s="197"/>
      <c r="T24" s="197"/>
      <c r="U24" s="197"/>
      <c r="V24" s="206"/>
      <c r="W24" s="206"/>
      <c r="X24" s="206"/>
      <c r="Y24" s="197"/>
      <c r="Z24" s="197"/>
    </row>
    <row r="25" spans="1:29" x14ac:dyDescent="0.4">
      <c r="A25" s="22" t="s">
        <v>358</v>
      </c>
      <c r="B25" s="44"/>
      <c r="C25" s="44"/>
      <c r="D25" s="202">
        <v>704700608.25</v>
      </c>
      <c r="E25" s="202"/>
      <c r="F25" s="202">
        <v>0</v>
      </c>
      <c r="G25" s="202"/>
      <c r="H25" s="202">
        <v>144890157.11000001</v>
      </c>
      <c r="I25" s="202"/>
      <c r="J25" s="202">
        <v>0</v>
      </c>
      <c r="K25" s="202"/>
      <c r="L25" s="202">
        <v>70591864.099999994</v>
      </c>
      <c r="M25" s="202"/>
      <c r="N25" s="202">
        <v>1217455873.73</v>
      </c>
      <c r="O25" s="202"/>
      <c r="P25" s="202">
        <v>-23239103.050000001</v>
      </c>
      <c r="Q25" s="202"/>
      <c r="R25" s="202">
        <v>0</v>
      </c>
      <c r="S25" s="202"/>
      <c r="T25" s="202">
        <f>SUM(P25:S25)</f>
        <v>-23239103.050000001</v>
      </c>
      <c r="U25" s="202"/>
      <c r="V25" s="202">
        <f>SUM(D25:O25)+T25</f>
        <v>2114399400.1400001</v>
      </c>
      <c r="W25" s="202"/>
      <c r="X25" s="202">
        <v>74941024.799999997</v>
      </c>
      <c r="Y25" s="206"/>
      <c r="Z25" s="202">
        <f>SUM(V25:X25)</f>
        <v>2189340424.9400001</v>
      </c>
      <c r="AB25" s="197">
        <f>Z25-'BS_Q4-62'!H113</f>
        <v>0</v>
      </c>
    </row>
    <row r="26" spans="1:29" ht="9" customHeight="1" x14ac:dyDescent="0.4">
      <c r="A26" s="22"/>
      <c r="B26" s="34"/>
      <c r="C26" s="44"/>
      <c r="D26" s="202"/>
      <c r="E26" s="202"/>
      <c r="F26" s="202"/>
      <c r="G26" s="202"/>
      <c r="H26" s="202"/>
      <c r="I26" s="202"/>
      <c r="J26" s="202"/>
      <c r="K26" s="202"/>
      <c r="L26" s="202"/>
      <c r="M26" s="202"/>
      <c r="N26" s="202"/>
      <c r="O26" s="202"/>
      <c r="P26" s="202"/>
      <c r="Q26" s="202"/>
      <c r="R26" s="202"/>
      <c r="S26" s="202"/>
      <c r="T26" s="202"/>
      <c r="U26" s="202"/>
      <c r="V26" s="202"/>
      <c r="W26" s="202"/>
      <c r="X26" s="202"/>
      <c r="Y26" s="206"/>
      <c r="Z26" s="202"/>
    </row>
    <row r="27" spans="1:29" x14ac:dyDescent="0.4">
      <c r="A27" s="22" t="s">
        <v>306</v>
      </c>
      <c r="B27" s="34"/>
      <c r="C27" s="44"/>
      <c r="D27" s="202"/>
      <c r="E27" s="202"/>
      <c r="F27" s="202"/>
      <c r="G27" s="202"/>
      <c r="H27" s="202"/>
      <c r="I27" s="202"/>
      <c r="J27" s="202"/>
      <c r="K27" s="202"/>
      <c r="L27" s="202"/>
      <c r="M27" s="202"/>
      <c r="N27" s="202"/>
      <c r="O27" s="202"/>
      <c r="P27" s="202"/>
      <c r="Q27" s="202"/>
      <c r="R27" s="202"/>
      <c r="S27" s="202"/>
      <c r="T27" s="202"/>
      <c r="U27" s="202"/>
      <c r="V27" s="202"/>
      <c r="W27" s="202"/>
      <c r="X27" s="202"/>
      <c r="Y27" s="206"/>
      <c r="Z27" s="202"/>
    </row>
    <row r="28" spans="1:29" x14ac:dyDescent="0.4">
      <c r="A28" s="22" t="s">
        <v>360</v>
      </c>
      <c r="B28" s="34">
        <v>20</v>
      </c>
      <c r="C28" s="44"/>
      <c r="D28" s="202">
        <v>252164.63</v>
      </c>
      <c r="E28" s="201"/>
      <c r="F28" s="202">
        <v>0</v>
      </c>
      <c r="G28" s="202"/>
      <c r="H28" s="202">
        <v>252164.62</v>
      </c>
      <c r="I28" s="201"/>
      <c r="J28" s="202">
        <v>0</v>
      </c>
      <c r="K28" s="202"/>
      <c r="L28" s="202">
        <v>0</v>
      </c>
      <c r="M28" s="202"/>
      <c r="N28" s="202">
        <v>0</v>
      </c>
      <c r="O28" s="202"/>
      <c r="P28" s="202">
        <v>0</v>
      </c>
      <c r="Q28" s="202"/>
      <c r="R28" s="202">
        <v>0</v>
      </c>
      <c r="S28" s="202"/>
      <c r="T28" s="202">
        <f t="shared" ref="T28:T29" si="0">SUM(P28:S28)</f>
        <v>0</v>
      </c>
      <c r="U28" s="202"/>
      <c r="V28" s="202">
        <f t="shared" ref="V28:V29" si="1">SUM(D28:O28)+T28</f>
        <v>504329.25</v>
      </c>
      <c r="W28" s="202"/>
      <c r="X28" s="202">
        <v>0</v>
      </c>
      <c r="Y28" s="206"/>
      <c r="Z28" s="202">
        <f t="shared" ref="Z28:Z29" si="2">SUM(V28:X28)</f>
        <v>504329.25</v>
      </c>
    </row>
    <row r="29" spans="1:29" x14ac:dyDescent="0.4">
      <c r="A29" s="22" t="s">
        <v>361</v>
      </c>
      <c r="B29" s="34">
        <v>21</v>
      </c>
      <c r="C29" s="44"/>
      <c r="D29" s="202">
        <v>0</v>
      </c>
      <c r="E29" s="201"/>
      <c r="F29" s="202">
        <v>0</v>
      </c>
      <c r="G29" s="202"/>
      <c r="H29" s="202">
        <v>0</v>
      </c>
      <c r="I29" s="201"/>
      <c r="J29" s="202">
        <v>1017450</v>
      </c>
      <c r="K29" s="202"/>
      <c r="L29" s="202">
        <v>0</v>
      </c>
      <c r="M29" s="202"/>
      <c r="N29" s="202">
        <v>0</v>
      </c>
      <c r="O29" s="202"/>
      <c r="P29" s="202">
        <v>0</v>
      </c>
      <c r="Q29" s="202"/>
      <c r="R29" s="202">
        <v>0</v>
      </c>
      <c r="S29" s="202"/>
      <c r="T29" s="202">
        <f t="shared" si="0"/>
        <v>0</v>
      </c>
      <c r="U29" s="202"/>
      <c r="V29" s="202">
        <f t="shared" si="1"/>
        <v>1017450</v>
      </c>
      <c r="W29" s="202"/>
      <c r="X29" s="202">
        <v>0</v>
      </c>
      <c r="Y29" s="206"/>
      <c r="Z29" s="202">
        <f t="shared" si="2"/>
        <v>1017450</v>
      </c>
    </row>
    <row r="30" spans="1:29" x14ac:dyDescent="0.4">
      <c r="A30" s="22" t="s">
        <v>295</v>
      </c>
      <c r="B30" s="34">
        <v>19</v>
      </c>
      <c r="C30" s="44"/>
      <c r="D30" s="202">
        <v>0</v>
      </c>
      <c r="E30" s="201"/>
      <c r="F30" s="202">
        <v>0</v>
      </c>
      <c r="G30" s="202"/>
      <c r="H30" s="202">
        <v>0</v>
      </c>
      <c r="I30" s="201"/>
      <c r="J30" s="202">
        <v>0</v>
      </c>
      <c r="K30" s="202"/>
      <c r="L30" s="202">
        <v>0</v>
      </c>
      <c r="M30" s="202"/>
      <c r="N30" s="202">
        <v>-338333858.30000001</v>
      </c>
      <c r="O30" s="202"/>
      <c r="P30" s="202">
        <v>0</v>
      </c>
      <c r="Q30" s="202"/>
      <c r="R30" s="202">
        <v>0</v>
      </c>
      <c r="S30" s="202"/>
      <c r="T30" s="202">
        <f>SUM(P30:S30)</f>
        <v>0</v>
      </c>
      <c r="U30" s="202"/>
      <c r="V30" s="202">
        <f>SUM(D30:O30)+T30</f>
        <v>-338333858.30000001</v>
      </c>
      <c r="W30" s="202"/>
      <c r="X30" s="202">
        <v>0</v>
      </c>
      <c r="Y30" s="206"/>
      <c r="Z30" s="202">
        <f>SUM(V30:X30)</f>
        <v>-338333858.30000001</v>
      </c>
    </row>
    <row r="31" spans="1:29" x14ac:dyDescent="0.4">
      <c r="A31" s="22" t="s">
        <v>362</v>
      </c>
      <c r="B31" s="34"/>
      <c r="C31" s="44"/>
      <c r="D31" s="202">
        <v>0</v>
      </c>
      <c r="E31" s="201"/>
      <c r="F31" s="202">
        <v>0</v>
      </c>
      <c r="G31" s="202"/>
      <c r="H31" s="202">
        <v>0</v>
      </c>
      <c r="I31" s="201"/>
      <c r="J31" s="202">
        <v>0</v>
      </c>
      <c r="K31" s="202"/>
      <c r="L31" s="202">
        <v>17495711.940000001</v>
      </c>
      <c r="M31" s="202"/>
      <c r="N31" s="202">
        <f>-L31</f>
        <v>-17495711.940000001</v>
      </c>
      <c r="O31" s="202"/>
      <c r="P31" s="202">
        <v>0</v>
      </c>
      <c r="Q31" s="202"/>
      <c r="R31" s="202">
        <v>0</v>
      </c>
      <c r="S31" s="202"/>
      <c r="T31" s="202">
        <f>SUM(P31:S31)</f>
        <v>0</v>
      </c>
      <c r="U31" s="202"/>
      <c r="V31" s="202">
        <f>SUM(D31:O31)+T31</f>
        <v>0</v>
      </c>
      <c r="W31" s="202"/>
      <c r="X31" s="202">
        <v>0</v>
      </c>
      <c r="Y31" s="206"/>
      <c r="Z31" s="202">
        <f>SUM(V31:X31)</f>
        <v>0</v>
      </c>
    </row>
    <row r="32" spans="1:29" x14ac:dyDescent="0.4">
      <c r="A32" s="22" t="s">
        <v>294</v>
      </c>
      <c r="D32" s="202">
        <v>0</v>
      </c>
      <c r="E32" s="202"/>
      <c r="F32" s="202">
        <v>0</v>
      </c>
      <c r="G32" s="202"/>
      <c r="H32" s="202">
        <v>0</v>
      </c>
      <c r="I32" s="202"/>
      <c r="J32" s="202">
        <v>0</v>
      </c>
      <c r="K32" s="202"/>
      <c r="L32" s="201">
        <v>0</v>
      </c>
      <c r="M32" s="201"/>
      <c r="N32" s="201">
        <f>+'PL_Q4-62'!F36</f>
        <v>736478723.79000008</v>
      </c>
      <c r="O32" s="202"/>
      <c r="P32" s="202">
        <f>+'PL_Q4-62'!F68</f>
        <v>-16308759.43</v>
      </c>
      <c r="Q32" s="202"/>
      <c r="R32" s="201">
        <v>0</v>
      </c>
      <c r="S32" s="201"/>
      <c r="T32" s="201">
        <f>SUM(P32:S32)</f>
        <v>-16308759.43</v>
      </c>
      <c r="U32" s="202"/>
      <c r="V32" s="202">
        <f>SUM(D32:O32)+T32</f>
        <v>720169964.36000013</v>
      </c>
      <c r="W32" s="202"/>
      <c r="X32" s="202">
        <f>+'PL_Q4-62'!F37</f>
        <v>509604.05</v>
      </c>
      <c r="Y32" s="206"/>
      <c r="Z32" s="202">
        <f>SUM(V32:X32)</f>
        <v>720679568.41000009</v>
      </c>
    </row>
    <row r="33" spans="1:37" ht="9.75" customHeight="1" x14ac:dyDescent="0.4">
      <c r="A33" s="22"/>
      <c r="B33" s="12"/>
      <c r="D33" s="199"/>
      <c r="E33" s="206"/>
      <c r="F33" s="199"/>
      <c r="G33" s="202"/>
      <c r="H33" s="199"/>
      <c r="I33" s="206"/>
      <c r="J33" s="199"/>
      <c r="K33" s="202"/>
      <c r="L33" s="199"/>
      <c r="M33" s="216"/>
      <c r="N33" s="199"/>
      <c r="O33" s="202"/>
      <c r="P33" s="199"/>
      <c r="Q33" s="202"/>
      <c r="R33" s="199"/>
      <c r="S33" s="202"/>
      <c r="T33" s="199"/>
      <c r="U33" s="206"/>
      <c r="V33" s="199"/>
      <c r="W33" s="202"/>
      <c r="X33" s="199"/>
      <c r="Y33" s="206"/>
      <c r="Z33" s="199"/>
    </row>
    <row r="34" spans="1:37" ht="11.25" customHeight="1" x14ac:dyDescent="0.4">
      <c r="A34" s="22"/>
      <c r="D34" s="201"/>
      <c r="E34" s="201"/>
      <c r="F34" s="201"/>
      <c r="G34" s="201"/>
      <c r="H34" s="201"/>
      <c r="I34" s="201"/>
      <c r="J34" s="201"/>
      <c r="K34" s="201"/>
      <c r="L34" s="201"/>
      <c r="M34" s="201"/>
      <c r="N34" s="201"/>
      <c r="O34" s="201"/>
      <c r="P34" s="201"/>
      <c r="Q34" s="201"/>
      <c r="R34" s="201"/>
      <c r="S34" s="201"/>
      <c r="T34" s="201"/>
      <c r="U34" s="201"/>
      <c r="V34" s="202"/>
      <c r="W34" s="202"/>
      <c r="X34" s="202"/>
      <c r="Y34" s="197"/>
      <c r="Z34" s="197"/>
    </row>
    <row r="35" spans="1:37" ht="18.75" thickBot="1" x14ac:dyDescent="0.45">
      <c r="A35" s="22" t="s">
        <v>359</v>
      </c>
      <c r="D35" s="217">
        <f>SUM(D25:D34)</f>
        <v>704952772.88</v>
      </c>
      <c r="E35" s="201"/>
      <c r="F35" s="217">
        <f>SUM(F25:F34)</f>
        <v>0</v>
      </c>
      <c r="G35" s="202"/>
      <c r="H35" s="217">
        <f>SUM(H25:H34)</f>
        <v>145142321.73000002</v>
      </c>
      <c r="I35" s="201"/>
      <c r="J35" s="217">
        <f>SUM(J25:J34)</f>
        <v>1017450</v>
      </c>
      <c r="K35" s="202"/>
      <c r="L35" s="217">
        <f>SUM(L25:L34)</f>
        <v>88087576.039999992</v>
      </c>
      <c r="M35" s="201"/>
      <c r="N35" s="217">
        <f>SUM(N25:N34)</f>
        <v>1598105027.2800002</v>
      </c>
      <c r="O35" s="202"/>
      <c r="P35" s="217">
        <f>SUM(P25:P34)</f>
        <v>-39547862.480000004</v>
      </c>
      <c r="Q35" s="202"/>
      <c r="R35" s="217">
        <f>SUM(R25:R34)</f>
        <v>0</v>
      </c>
      <c r="S35" s="202"/>
      <c r="T35" s="217">
        <f>SUM(T25:T34)</f>
        <v>-39547862.480000004</v>
      </c>
      <c r="U35" s="201"/>
      <c r="V35" s="217">
        <f>SUM(V25:V34)</f>
        <v>2497757285.4500003</v>
      </c>
      <c r="W35" s="202"/>
      <c r="X35" s="217">
        <f>SUM(X25:X34)</f>
        <v>75450628.849999994</v>
      </c>
      <c r="Y35" s="197"/>
      <c r="Z35" s="217">
        <f>SUM(Z25:Z34)</f>
        <v>2573207914.3000002</v>
      </c>
      <c r="AB35" s="23">
        <f>Z35-'BS_Q4-62'!F113</f>
        <v>0</v>
      </c>
      <c r="AC35" s="197">
        <f>N35-'BS_Q4-62'!F109</f>
        <v>0</v>
      </c>
      <c r="AD35" s="197">
        <f>L35-'BS_Q4-62'!F108</f>
        <v>0</v>
      </c>
    </row>
    <row r="36" spans="1:37" ht="18.75" thickTop="1" x14ac:dyDescent="0.4">
      <c r="A36" s="22"/>
      <c r="D36" s="197"/>
      <c r="E36" s="197"/>
      <c r="F36" s="197"/>
      <c r="G36" s="197"/>
      <c r="H36" s="197"/>
      <c r="I36" s="197"/>
      <c r="J36" s="197"/>
      <c r="K36" s="197"/>
      <c r="L36" s="197"/>
      <c r="M36" s="197"/>
      <c r="N36" s="197"/>
      <c r="O36" s="197"/>
      <c r="P36" s="197"/>
      <c r="Q36" s="197"/>
      <c r="R36" s="197"/>
      <c r="S36" s="197"/>
      <c r="T36" s="197"/>
      <c r="U36" s="197"/>
      <c r="V36" s="197"/>
      <c r="W36" s="197"/>
      <c r="X36" s="197"/>
      <c r="Y36" s="197"/>
      <c r="Z36" s="197"/>
      <c r="AB36" s="197">
        <f>N35-'BS_Q4-62'!F109</f>
        <v>0</v>
      </c>
    </row>
    <row r="37" spans="1:37" x14ac:dyDescent="0.4">
      <c r="A37" s="22" t="s">
        <v>292</v>
      </c>
    </row>
    <row r="38" spans="1:37" x14ac:dyDescent="0.4">
      <c r="A38" s="158"/>
    </row>
    <row r="40" spans="1:37" s="5" customFormat="1" x14ac:dyDescent="0.4">
      <c r="A40" s="31" t="s">
        <v>146</v>
      </c>
      <c r="C40" s="12"/>
      <c r="D40" s="31"/>
      <c r="E40" s="12"/>
      <c r="F40" s="12"/>
      <c r="G40" s="12"/>
      <c r="H40" s="12"/>
      <c r="I40" s="12"/>
      <c r="J40" s="31" t="s">
        <v>146</v>
      </c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12"/>
      <c r="V40" s="12"/>
      <c r="W40" s="12"/>
      <c r="X40" s="12"/>
      <c r="Y40" s="12"/>
      <c r="Z40" s="3"/>
      <c r="AA40" s="3"/>
      <c r="AB40" s="9"/>
      <c r="AC40" s="3"/>
      <c r="AD40" s="3"/>
      <c r="AE40" s="3"/>
      <c r="AF40" s="3"/>
      <c r="AG40" s="3"/>
      <c r="AH40" s="3"/>
      <c r="AI40" s="3"/>
      <c r="AJ40" s="3"/>
      <c r="AK40" s="3"/>
    </row>
    <row r="41" spans="1:37" s="5" customFormat="1" x14ac:dyDescent="0.4">
      <c r="A41" s="274"/>
      <c r="B41" s="274"/>
      <c r="D41" s="31"/>
      <c r="E41" s="31"/>
      <c r="F41" s="31"/>
      <c r="G41" s="31"/>
      <c r="H41" s="31"/>
      <c r="I41" s="31"/>
      <c r="J41" s="31"/>
      <c r="K41" s="31"/>
      <c r="L41" s="12"/>
      <c r="M41" s="31"/>
      <c r="N41" s="12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"/>
      <c r="AA41" s="3"/>
      <c r="AB41" s="9"/>
      <c r="AC41" s="3"/>
      <c r="AD41" s="3"/>
      <c r="AE41" s="3"/>
      <c r="AF41" s="3"/>
      <c r="AG41" s="3"/>
      <c r="AH41" s="3"/>
      <c r="AI41" s="3"/>
      <c r="AJ41" s="3"/>
      <c r="AK41" s="3"/>
    </row>
    <row r="42" spans="1:37" x14ac:dyDescent="0.4">
      <c r="A42" s="32"/>
    </row>
  </sheetData>
  <mergeCells count="9">
    <mergeCell ref="X1:Z1"/>
    <mergeCell ref="A41:B41"/>
    <mergeCell ref="A2:Z2"/>
    <mergeCell ref="A5:Z5"/>
    <mergeCell ref="A4:Z4"/>
    <mergeCell ref="L8:N8"/>
    <mergeCell ref="P8:T8"/>
    <mergeCell ref="D7:Z7"/>
    <mergeCell ref="A3:Z3"/>
  </mergeCells>
  <phoneticPr fontId="0" type="noConversion"/>
  <pageMargins left="0.74803149606299202" right="0.5" top="0.23622047244094499" bottom="0.40748031499999998" header="0.43307086614173201" footer="0.511811023622047"/>
  <pageSetup paperSize="9" scale="77" orientation="landscape" r:id="rId1"/>
  <headerFooter alignWithMargins="0">
    <oddFooter>&amp;C4</oddFooter>
  </headerFooter>
  <colBreaks count="1" manualBreakCount="1">
    <brk id="26" max="42" man="1"/>
  </colBreaks>
  <ignoredErrors>
    <ignoredError sqref="V30 V25:V29 V14:V1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K40"/>
  <sheetViews>
    <sheetView view="pageBreakPreview" zoomScale="120" zoomScaleNormal="100" zoomScaleSheetLayoutView="120" workbookViewId="0">
      <selection activeCell="A12" sqref="A12"/>
    </sheetView>
  </sheetViews>
  <sheetFormatPr defaultRowHeight="21" x14ac:dyDescent="0.45"/>
  <cols>
    <col min="1" max="1" width="41.28515625" style="107" customWidth="1"/>
    <col min="2" max="2" width="4.85546875" style="107" customWidth="1"/>
    <col min="3" max="3" width="1.42578125" style="107" customWidth="1"/>
    <col min="4" max="4" width="14.140625" style="107" customWidth="1"/>
    <col min="5" max="5" width="1.42578125" style="107" customWidth="1"/>
    <col min="6" max="6" width="14.42578125" style="107" hidden="1" customWidth="1"/>
    <col min="7" max="7" width="1.5703125" style="107" hidden="1" customWidth="1"/>
    <col min="8" max="8" width="14.42578125" style="107" customWidth="1"/>
    <col min="9" max="9" width="1.28515625" style="107" customWidth="1"/>
    <col min="10" max="10" width="14.140625" style="107" customWidth="1"/>
    <col min="11" max="11" width="1.42578125" style="107" hidden="1" customWidth="1"/>
    <col min="12" max="12" width="12.140625" style="107" hidden="1" customWidth="1"/>
    <col min="13" max="13" width="1.42578125" style="107" hidden="1" customWidth="1"/>
    <col min="14" max="14" width="11.85546875" style="107" hidden="1" customWidth="1"/>
    <col min="15" max="15" width="1.42578125" style="107" hidden="1" customWidth="1"/>
    <col min="16" max="16" width="11.85546875" style="107" hidden="1" customWidth="1"/>
    <col min="17" max="17" width="1.42578125" style="107" customWidth="1"/>
    <col min="18" max="18" width="13.7109375" style="107" customWidth="1"/>
    <col min="19" max="19" width="1.42578125" style="107" customWidth="1"/>
    <col min="20" max="20" width="15" style="107" bestFit="1" customWidth="1"/>
    <col min="21" max="21" width="1.140625" style="107" customWidth="1"/>
    <col min="22" max="22" width="20.7109375" style="107" customWidth="1"/>
    <col min="23" max="23" width="1.42578125" style="107" customWidth="1"/>
    <col min="24" max="24" width="15.28515625" style="107" customWidth="1"/>
    <col min="25" max="25" width="12.85546875" style="107" bestFit="1" customWidth="1"/>
    <col min="26" max="26" width="10.5703125" style="107" bestFit="1" customWidth="1"/>
    <col min="27" max="16384" width="9.140625" style="107"/>
  </cols>
  <sheetData>
    <row r="1" spans="1:26" ht="21.75" customHeight="1" x14ac:dyDescent="0.45">
      <c r="A1" s="160" t="s">
        <v>205</v>
      </c>
      <c r="V1" s="285"/>
      <c r="W1" s="285"/>
      <c r="X1" s="285"/>
    </row>
    <row r="2" spans="1:26" ht="6.75" customHeight="1" x14ac:dyDescent="0.45">
      <c r="X2" s="159"/>
    </row>
    <row r="3" spans="1:26" x14ac:dyDescent="0.45">
      <c r="A3" s="287" t="str">
        <f>'Changed-Conso'!A2</f>
        <v>THE BROOKER GROUP PUBLIC COMPANY LIMITED AND ITS SUBSIDIARIES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166"/>
    </row>
    <row r="4" spans="1:26" x14ac:dyDescent="0.45">
      <c r="A4" s="288" t="str">
        <f>'Changed-Conso'!A3</f>
        <v>STATEMENTS OF CHANGES IN SHAREHOLDERS' EQUITY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</row>
    <row r="5" spans="1:26" x14ac:dyDescent="0.45">
      <c r="A5" s="288" t="s">
        <v>213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</row>
    <row r="6" spans="1:26" x14ac:dyDescent="0.45">
      <c r="A6" s="288" t="s">
        <v>357</v>
      </c>
      <c r="B6" s="288"/>
      <c r="C6" s="288"/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</row>
    <row r="7" spans="1:26" x14ac:dyDescent="0.45">
      <c r="D7" s="286" t="s">
        <v>222</v>
      </c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6"/>
      <c r="T7" s="286"/>
      <c r="U7" s="286"/>
      <c r="V7" s="286"/>
      <c r="W7" s="286"/>
      <c r="X7" s="286"/>
    </row>
    <row r="8" spans="1:26" x14ac:dyDescent="0.45">
      <c r="B8" s="161"/>
      <c r="C8" s="161"/>
      <c r="D8" s="162"/>
      <c r="E8" s="162"/>
      <c r="F8" s="244"/>
      <c r="G8" s="244"/>
      <c r="H8" s="244"/>
      <c r="I8" s="162"/>
      <c r="J8" s="161" t="s">
        <v>319</v>
      </c>
      <c r="K8" s="162"/>
      <c r="L8" s="167" t="s">
        <v>197</v>
      </c>
      <c r="M8" s="168"/>
      <c r="N8" s="168"/>
      <c r="O8" s="168"/>
      <c r="P8" s="168"/>
      <c r="Q8" s="168"/>
      <c r="R8" s="284" t="s">
        <v>227</v>
      </c>
      <c r="S8" s="284"/>
      <c r="T8" s="284"/>
      <c r="U8" s="103"/>
      <c r="V8" s="103" t="s">
        <v>302</v>
      </c>
      <c r="W8" s="103"/>
    </row>
    <row r="9" spans="1:26" x14ac:dyDescent="0.45">
      <c r="D9" s="161" t="s">
        <v>208</v>
      </c>
      <c r="E9" s="168"/>
      <c r="F9" s="244"/>
      <c r="G9" s="244"/>
      <c r="H9" s="161" t="s">
        <v>317</v>
      </c>
      <c r="I9" s="168"/>
      <c r="J9" s="161" t="s">
        <v>320</v>
      </c>
      <c r="K9" s="168"/>
      <c r="L9" s="167" t="s">
        <v>196</v>
      </c>
      <c r="M9" s="167"/>
      <c r="N9" s="167" t="s">
        <v>199</v>
      </c>
      <c r="O9" s="167"/>
      <c r="P9" s="167" t="s">
        <v>171</v>
      </c>
      <c r="Q9" s="168"/>
      <c r="V9" s="164" t="s">
        <v>243</v>
      </c>
      <c r="W9" s="103"/>
    </row>
    <row r="10" spans="1:26" x14ac:dyDescent="0.45">
      <c r="D10" s="161" t="s">
        <v>168</v>
      </c>
      <c r="E10" s="169"/>
      <c r="F10" s="244"/>
      <c r="G10" s="244"/>
      <c r="H10" s="161" t="s">
        <v>318</v>
      </c>
      <c r="I10" s="169"/>
      <c r="J10" s="244" t="s">
        <v>321</v>
      </c>
      <c r="K10" s="167"/>
      <c r="L10" s="167" t="s">
        <v>178</v>
      </c>
      <c r="M10" s="167"/>
      <c r="N10" s="116" t="s">
        <v>200</v>
      </c>
      <c r="O10" s="167"/>
      <c r="P10" s="167" t="s">
        <v>172</v>
      </c>
      <c r="Q10" s="168"/>
      <c r="R10" s="161" t="s">
        <v>175</v>
      </c>
      <c r="S10" s="170"/>
      <c r="T10" s="101"/>
      <c r="U10" s="101"/>
      <c r="V10" s="172" t="s">
        <v>303</v>
      </c>
      <c r="W10" s="101"/>
    </row>
    <row r="11" spans="1:26" x14ac:dyDescent="0.45">
      <c r="B11" s="187" t="s">
        <v>230</v>
      </c>
      <c r="D11" s="115" t="s">
        <v>169</v>
      </c>
      <c r="E11" s="171"/>
      <c r="F11" s="243" t="s">
        <v>259</v>
      </c>
      <c r="G11" s="250"/>
      <c r="H11" s="115" t="s">
        <v>170</v>
      </c>
      <c r="I11" s="171"/>
      <c r="J11" s="115" t="s">
        <v>322</v>
      </c>
      <c r="K11" s="172"/>
      <c r="L11" s="164" t="s">
        <v>179</v>
      </c>
      <c r="M11" s="172"/>
      <c r="N11" s="164" t="s">
        <v>201</v>
      </c>
      <c r="O11" s="172"/>
      <c r="P11" s="164" t="s">
        <v>173</v>
      </c>
      <c r="Q11" s="168"/>
      <c r="R11" s="115" t="s">
        <v>176</v>
      </c>
      <c r="S11" s="170"/>
      <c r="T11" s="115" t="s">
        <v>156</v>
      </c>
      <c r="U11" s="104"/>
      <c r="V11" s="164" t="s">
        <v>304</v>
      </c>
      <c r="W11" s="103"/>
      <c r="X11" s="115" t="s">
        <v>177</v>
      </c>
    </row>
    <row r="12" spans="1:26" x14ac:dyDescent="0.45">
      <c r="C12" s="172"/>
      <c r="D12" s="140"/>
      <c r="E12" s="140"/>
      <c r="F12" s="190"/>
      <c r="G12" s="251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03"/>
      <c r="S12" s="172"/>
      <c r="T12" s="173"/>
      <c r="U12" s="173"/>
      <c r="V12" s="173"/>
      <c r="W12" s="171"/>
      <c r="X12" s="173"/>
    </row>
    <row r="13" spans="1:26" x14ac:dyDescent="0.45">
      <c r="A13" s="105" t="s">
        <v>342</v>
      </c>
      <c r="B13" s="174"/>
      <c r="C13" s="174"/>
      <c r="D13" s="209">
        <v>704700608.25</v>
      </c>
      <c r="E13" s="209"/>
      <c r="F13" s="209">
        <v>0</v>
      </c>
      <c r="G13" s="209"/>
      <c r="H13" s="209">
        <v>144890157.11000001</v>
      </c>
      <c r="I13" s="209"/>
      <c r="J13" s="209">
        <v>0</v>
      </c>
      <c r="K13" s="209"/>
      <c r="L13" s="210">
        <v>0</v>
      </c>
      <c r="M13" s="209"/>
      <c r="N13" s="209">
        <v>0</v>
      </c>
      <c r="O13" s="209"/>
      <c r="P13" s="209">
        <v>0</v>
      </c>
      <c r="Q13" s="209"/>
      <c r="R13" s="209">
        <v>70591864.100000009</v>
      </c>
      <c r="S13" s="209"/>
      <c r="T13" s="209">
        <v>422099760.87</v>
      </c>
      <c r="U13" s="209"/>
      <c r="V13" s="209">
        <v>0</v>
      </c>
      <c r="W13" s="209"/>
      <c r="X13" s="209">
        <f>SUM(D13:V13)</f>
        <v>1342282390.3299999</v>
      </c>
      <c r="Y13" s="213"/>
      <c r="Z13" s="168"/>
    </row>
    <row r="14" spans="1:26" ht="9" customHeight="1" x14ac:dyDescent="0.45">
      <c r="A14" s="140"/>
      <c r="B14" s="174"/>
      <c r="C14" s="174"/>
      <c r="D14" s="202"/>
      <c r="E14" s="202"/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9"/>
      <c r="T14" s="209"/>
      <c r="U14" s="209"/>
      <c r="V14" s="202"/>
      <c r="W14" s="209"/>
      <c r="X14" s="209"/>
      <c r="Z14" s="168"/>
    </row>
    <row r="15" spans="1:26" x14ac:dyDescent="0.45">
      <c r="A15" s="140" t="s">
        <v>307</v>
      </c>
      <c r="B15" s="174"/>
      <c r="C15" s="174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9"/>
      <c r="T15" s="209"/>
      <c r="U15" s="209"/>
      <c r="V15" s="202"/>
      <c r="W15" s="209"/>
      <c r="X15" s="209"/>
      <c r="Z15" s="168"/>
    </row>
    <row r="16" spans="1:26" x14ac:dyDescent="0.45">
      <c r="A16" s="191" t="s">
        <v>339</v>
      </c>
      <c r="B16" s="254">
        <v>19</v>
      </c>
      <c r="C16" s="168"/>
      <c r="D16" s="210">
        <v>0</v>
      </c>
      <c r="E16" s="210"/>
      <c r="F16" s="210">
        <v>0</v>
      </c>
      <c r="G16" s="210"/>
      <c r="H16" s="210">
        <v>0</v>
      </c>
      <c r="I16" s="210"/>
      <c r="J16" s="210">
        <v>0</v>
      </c>
      <c r="K16" s="210"/>
      <c r="L16" s="210">
        <v>0</v>
      </c>
      <c r="M16" s="210"/>
      <c r="N16" s="209">
        <v>0</v>
      </c>
      <c r="O16" s="210"/>
      <c r="P16" s="210">
        <v>0</v>
      </c>
      <c r="Q16" s="210"/>
      <c r="R16" s="210">
        <v>0</v>
      </c>
      <c r="S16" s="210"/>
      <c r="T16" s="210">
        <v>-281880243.30000001</v>
      </c>
      <c r="U16" s="210"/>
      <c r="V16" s="210">
        <v>0</v>
      </c>
      <c r="W16" s="210"/>
      <c r="X16" s="209">
        <f>SUM(D16:V16)</f>
        <v>-281880243.30000001</v>
      </c>
    </row>
    <row r="17" spans="1:26" hidden="1" x14ac:dyDescent="0.45">
      <c r="A17" s="119" t="s">
        <v>290</v>
      </c>
      <c r="B17" s="255"/>
      <c r="C17" s="168"/>
      <c r="D17" s="210">
        <v>0</v>
      </c>
      <c r="E17" s="210"/>
      <c r="F17" s="210">
        <v>0</v>
      </c>
      <c r="G17" s="210"/>
      <c r="H17" s="210">
        <v>0</v>
      </c>
      <c r="I17" s="210"/>
      <c r="J17" s="210">
        <v>0</v>
      </c>
      <c r="K17" s="210"/>
      <c r="L17" s="210"/>
      <c r="M17" s="210"/>
      <c r="N17" s="209"/>
      <c r="O17" s="210"/>
      <c r="P17" s="210"/>
      <c r="Q17" s="210"/>
      <c r="R17" s="210">
        <v>0</v>
      </c>
      <c r="S17" s="210"/>
      <c r="T17" s="210">
        <f>-R17</f>
        <v>0</v>
      </c>
      <c r="U17" s="210"/>
      <c r="V17" s="210">
        <v>0</v>
      </c>
      <c r="W17" s="210"/>
      <c r="X17" s="209">
        <f>SUM(D17:V17)</f>
        <v>0</v>
      </c>
      <c r="Y17" s="168"/>
      <c r="Z17" s="162"/>
    </row>
    <row r="18" spans="1:26" x14ac:dyDescent="0.45">
      <c r="A18" s="192" t="s">
        <v>294</v>
      </c>
      <c r="B18" s="256"/>
      <c r="C18" s="168"/>
      <c r="D18" s="209">
        <v>0</v>
      </c>
      <c r="E18" s="209"/>
      <c r="F18" s="209">
        <v>0</v>
      </c>
      <c r="G18" s="209"/>
      <c r="H18" s="209">
        <v>0</v>
      </c>
      <c r="I18" s="209"/>
      <c r="J18" s="209">
        <v>0</v>
      </c>
      <c r="K18" s="209"/>
      <c r="L18" s="209">
        <v>0</v>
      </c>
      <c r="M18" s="209"/>
      <c r="N18" s="209">
        <v>0</v>
      </c>
      <c r="O18" s="209"/>
      <c r="P18" s="209">
        <v>0</v>
      </c>
      <c r="Q18" s="209"/>
      <c r="R18" s="209">
        <v>0</v>
      </c>
      <c r="S18" s="209"/>
      <c r="T18" s="209">
        <f>+'PL_Q4-62'!L36</f>
        <v>561094037.83999991</v>
      </c>
      <c r="U18" s="209"/>
      <c r="V18" s="209">
        <v>2985208.8</v>
      </c>
      <c r="W18" s="209"/>
      <c r="X18" s="209">
        <f>SUM(D18:V18)</f>
        <v>564079246.63999987</v>
      </c>
      <c r="Y18" s="213">
        <f>T18-'PL_Q4-62'!L38</f>
        <v>0</v>
      </c>
    </row>
    <row r="19" spans="1:26" x14ac:dyDescent="0.45">
      <c r="A19" s="107" t="s">
        <v>331</v>
      </c>
      <c r="B19" s="168"/>
      <c r="C19" s="168"/>
      <c r="D19" s="209"/>
      <c r="E19" s="209"/>
      <c r="F19" s="209"/>
      <c r="G19" s="209"/>
      <c r="H19" s="209"/>
      <c r="I19" s="209"/>
      <c r="J19" s="209"/>
      <c r="K19" s="209"/>
      <c r="L19" s="209"/>
      <c r="M19" s="209"/>
      <c r="N19" s="209"/>
      <c r="O19" s="209"/>
      <c r="P19" s="209"/>
      <c r="Q19" s="209"/>
      <c r="R19" s="209"/>
      <c r="S19" s="209"/>
      <c r="T19" s="209"/>
      <c r="U19" s="209"/>
      <c r="V19" s="209"/>
      <c r="W19" s="209"/>
      <c r="X19" s="209"/>
      <c r="Y19" s="213"/>
    </row>
    <row r="20" spans="1:26" x14ac:dyDescent="0.45">
      <c r="A20" s="107" t="s">
        <v>332</v>
      </c>
      <c r="B20" s="168"/>
      <c r="C20" s="168"/>
      <c r="D20" s="209">
        <v>0</v>
      </c>
      <c r="E20" s="209"/>
      <c r="F20" s="209">
        <v>0</v>
      </c>
      <c r="G20" s="209"/>
      <c r="H20" s="209">
        <v>0</v>
      </c>
      <c r="I20" s="209"/>
      <c r="J20" s="209">
        <v>0</v>
      </c>
      <c r="K20" s="209"/>
      <c r="L20" s="209">
        <v>0</v>
      </c>
      <c r="M20" s="209"/>
      <c r="N20" s="209">
        <v>0</v>
      </c>
      <c r="O20" s="209"/>
      <c r="P20" s="209">
        <v>0</v>
      </c>
      <c r="Q20" s="209"/>
      <c r="R20" s="209">
        <v>0</v>
      </c>
      <c r="S20" s="209"/>
      <c r="T20" s="209">
        <f>-V20</f>
        <v>2985208.8</v>
      </c>
      <c r="U20" s="209"/>
      <c r="V20" s="209">
        <f>-V18</f>
        <v>-2985208.8</v>
      </c>
      <c r="W20" s="209"/>
      <c r="X20" s="209">
        <f>SUM(D20:V20)</f>
        <v>0</v>
      </c>
      <c r="Y20" s="213"/>
    </row>
    <row r="21" spans="1:26" ht="8.25" customHeight="1" x14ac:dyDescent="0.45">
      <c r="B21" s="257"/>
      <c r="D21" s="211"/>
      <c r="E21" s="210"/>
      <c r="F21" s="211"/>
      <c r="G21" s="209"/>
      <c r="H21" s="211"/>
      <c r="I21" s="210"/>
      <c r="J21" s="211"/>
      <c r="K21" s="209"/>
      <c r="L21" s="211"/>
      <c r="M21" s="209"/>
      <c r="N21" s="211"/>
      <c r="O21" s="209"/>
      <c r="P21" s="211"/>
      <c r="Q21" s="210"/>
      <c r="R21" s="211"/>
      <c r="S21" s="210"/>
      <c r="T21" s="211"/>
      <c r="U21" s="209"/>
      <c r="V21" s="211"/>
      <c r="W21" s="209"/>
      <c r="X21" s="211"/>
    </row>
    <row r="22" spans="1:26" ht="21.75" thickBot="1" x14ac:dyDescent="0.5">
      <c r="A22" s="105" t="s">
        <v>344</v>
      </c>
      <c r="B22" s="257"/>
      <c r="D22" s="212">
        <f>SUM(D13:D21)</f>
        <v>704700608.25</v>
      </c>
      <c r="E22" s="210"/>
      <c r="F22" s="259">
        <f>SUM(F13:F21)</f>
        <v>0</v>
      </c>
      <c r="G22" s="209"/>
      <c r="H22" s="212">
        <f>SUM(H13:H21)</f>
        <v>144890157.11000001</v>
      </c>
      <c r="I22" s="210"/>
      <c r="J22" s="212">
        <f>SUM(J13:J21)</f>
        <v>0</v>
      </c>
      <c r="K22" s="209"/>
      <c r="L22" s="212">
        <f>SUM(L16:L18)</f>
        <v>0</v>
      </c>
      <c r="M22" s="209"/>
      <c r="N22" s="212">
        <f>SUM(N16:N18)</f>
        <v>0</v>
      </c>
      <c r="O22" s="209"/>
      <c r="P22" s="212">
        <f>SUM(P16:P18)</f>
        <v>0</v>
      </c>
      <c r="Q22" s="210"/>
      <c r="R22" s="212">
        <f>SUM(R13:R21)</f>
        <v>70591864.100000009</v>
      </c>
      <c r="S22" s="210"/>
      <c r="T22" s="212">
        <f>SUM(T13:T21)</f>
        <v>704298764.2099998</v>
      </c>
      <c r="U22" s="209"/>
      <c r="V22" s="212">
        <f>SUM(V13:V21)</f>
        <v>0</v>
      </c>
      <c r="W22" s="209"/>
      <c r="X22" s="212">
        <f>SUM(X13:X21)</f>
        <v>1624481393.6699998</v>
      </c>
      <c r="Y22" s="213">
        <f>X22-'BS_Q4-62'!L113</f>
        <v>0</v>
      </c>
    </row>
    <row r="23" spans="1:26" ht="21.75" thickTop="1" x14ac:dyDescent="0.45">
      <c r="B23" s="257"/>
      <c r="D23" s="213"/>
      <c r="E23" s="213"/>
      <c r="F23" s="168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0"/>
      <c r="W23" s="213"/>
      <c r="X23" s="213"/>
    </row>
    <row r="24" spans="1:26" x14ac:dyDescent="0.45">
      <c r="A24" s="105" t="s">
        <v>358</v>
      </c>
      <c r="B24" s="258"/>
      <c r="C24" s="174"/>
      <c r="D24" s="209">
        <v>704700608.25</v>
      </c>
      <c r="E24" s="209"/>
      <c r="F24" s="209">
        <v>0</v>
      </c>
      <c r="G24" s="209"/>
      <c r="H24" s="209">
        <v>144890157.11000001</v>
      </c>
      <c r="I24" s="209"/>
      <c r="J24" s="209">
        <v>0</v>
      </c>
      <c r="K24" s="209"/>
      <c r="L24" s="210">
        <v>0</v>
      </c>
      <c r="M24" s="209"/>
      <c r="N24" s="209">
        <v>0</v>
      </c>
      <c r="O24" s="209"/>
      <c r="P24" s="209">
        <v>0</v>
      </c>
      <c r="Q24" s="209"/>
      <c r="R24" s="209">
        <v>70591864.100000009</v>
      </c>
      <c r="S24" s="209"/>
      <c r="T24" s="209">
        <v>704298764.21000004</v>
      </c>
      <c r="U24" s="209"/>
      <c r="V24" s="209">
        <v>0</v>
      </c>
      <c r="W24" s="209"/>
      <c r="X24" s="209">
        <f>SUM(D24:V24)</f>
        <v>1624481393.6700001</v>
      </c>
      <c r="Z24" s="168"/>
    </row>
    <row r="25" spans="1:26" ht="9.75" customHeight="1" x14ac:dyDescent="0.45">
      <c r="A25" s="140"/>
      <c r="B25" s="258"/>
      <c r="C25" s="174"/>
      <c r="D25" s="202"/>
      <c r="E25" s="202"/>
      <c r="F25" s="202"/>
      <c r="G25" s="202"/>
      <c r="H25" s="202"/>
      <c r="I25" s="202"/>
      <c r="J25" s="202"/>
      <c r="K25" s="202"/>
      <c r="L25" s="202"/>
      <c r="M25" s="202"/>
      <c r="N25" s="202"/>
      <c r="O25" s="202"/>
      <c r="P25" s="202"/>
      <c r="Q25" s="202"/>
      <c r="R25" s="202"/>
      <c r="S25" s="209"/>
      <c r="T25" s="209"/>
      <c r="U25" s="209"/>
      <c r="V25" s="202"/>
      <c r="W25" s="209"/>
      <c r="X25" s="209"/>
    </row>
    <row r="26" spans="1:26" x14ac:dyDescent="0.45">
      <c r="A26" s="140" t="s">
        <v>307</v>
      </c>
      <c r="B26" s="258"/>
      <c r="C26" s="174"/>
      <c r="D26" s="202"/>
      <c r="E26" s="202"/>
      <c r="F26" s="202"/>
      <c r="G26" s="202"/>
      <c r="H26" s="202"/>
      <c r="I26" s="202"/>
      <c r="J26" s="202"/>
      <c r="K26" s="202"/>
      <c r="L26" s="202"/>
      <c r="M26" s="202"/>
      <c r="N26" s="202"/>
      <c r="O26" s="202"/>
      <c r="P26" s="202"/>
      <c r="Q26" s="202"/>
      <c r="R26" s="202"/>
      <c r="S26" s="209"/>
      <c r="T26" s="209"/>
      <c r="U26" s="209"/>
      <c r="V26" s="202"/>
      <c r="W26" s="209"/>
      <c r="X26" s="209"/>
    </row>
    <row r="27" spans="1:26" x14ac:dyDescent="0.45">
      <c r="A27" s="140" t="s">
        <v>364</v>
      </c>
      <c r="B27" s="254">
        <v>20</v>
      </c>
      <c r="C27" s="174"/>
      <c r="D27" s="210">
        <v>252164.63</v>
      </c>
      <c r="E27" s="210"/>
      <c r="F27" s="210">
        <v>0</v>
      </c>
      <c r="G27" s="210"/>
      <c r="H27" s="210">
        <v>252164.62</v>
      </c>
      <c r="I27" s="210"/>
      <c r="J27" s="210">
        <v>0</v>
      </c>
      <c r="K27" s="210"/>
      <c r="L27" s="210">
        <v>0</v>
      </c>
      <c r="M27" s="210"/>
      <c r="N27" s="209">
        <v>0</v>
      </c>
      <c r="O27" s="210"/>
      <c r="P27" s="210">
        <v>0</v>
      </c>
      <c r="Q27" s="210"/>
      <c r="R27" s="210">
        <v>0</v>
      </c>
      <c r="S27" s="210"/>
      <c r="T27" s="210">
        <v>0</v>
      </c>
      <c r="U27" s="210"/>
      <c r="V27" s="210">
        <v>0</v>
      </c>
      <c r="W27" s="210"/>
      <c r="X27" s="209">
        <f t="shared" ref="X27:X28" si="0">SUM(D27:V27)</f>
        <v>504329.25</v>
      </c>
    </row>
    <row r="28" spans="1:26" x14ac:dyDescent="0.45">
      <c r="A28" s="140" t="s">
        <v>365</v>
      </c>
      <c r="B28" s="254">
        <v>21</v>
      </c>
      <c r="C28" s="174"/>
      <c r="D28" s="210">
        <v>0</v>
      </c>
      <c r="E28" s="210"/>
      <c r="F28" s="210">
        <v>0</v>
      </c>
      <c r="G28" s="210"/>
      <c r="H28" s="210">
        <v>0</v>
      </c>
      <c r="I28" s="210"/>
      <c r="J28" s="210">
        <v>1017450</v>
      </c>
      <c r="K28" s="210"/>
      <c r="L28" s="210">
        <v>0</v>
      </c>
      <c r="M28" s="210"/>
      <c r="N28" s="209">
        <v>0</v>
      </c>
      <c r="O28" s="210"/>
      <c r="P28" s="210">
        <v>0</v>
      </c>
      <c r="Q28" s="210"/>
      <c r="R28" s="210">
        <v>0</v>
      </c>
      <c r="S28" s="210"/>
      <c r="T28" s="210">
        <v>0</v>
      </c>
      <c r="U28" s="210"/>
      <c r="V28" s="210">
        <v>0</v>
      </c>
      <c r="W28" s="210"/>
      <c r="X28" s="209">
        <f t="shared" si="0"/>
        <v>1017450</v>
      </c>
    </row>
    <row r="29" spans="1:26" s="168" customFormat="1" x14ac:dyDescent="0.45">
      <c r="A29" s="191" t="s">
        <v>339</v>
      </c>
      <c r="B29" s="254">
        <v>19</v>
      </c>
      <c r="D29" s="210">
        <v>0</v>
      </c>
      <c r="E29" s="210"/>
      <c r="F29" s="210">
        <v>0</v>
      </c>
      <c r="G29" s="210"/>
      <c r="H29" s="210">
        <v>0</v>
      </c>
      <c r="I29" s="210"/>
      <c r="J29" s="210">
        <v>0</v>
      </c>
      <c r="K29" s="210"/>
      <c r="L29" s="210">
        <v>0</v>
      </c>
      <c r="M29" s="210"/>
      <c r="N29" s="209">
        <v>0</v>
      </c>
      <c r="O29" s="210"/>
      <c r="P29" s="210">
        <v>0</v>
      </c>
      <c r="Q29" s="210"/>
      <c r="R29" s="210">
        <v>0</v>
      </c>
      <c r="S29" s="210"/>
      <c r="T29" s="210">
        <v>-338333858.30000001</v>
      </c>
      <c r="U29" s="210"/>
      <c r="V29" s="210">
        <v>0</v>
      </c>
      <c r="W29" s="210"/>
      <c r="X29" s="209">
        <f>SUM(D29:V29)</f>
        <v>-338333858.30000001</v>
      </c>
      <c r="Z29" s="162"/>
    </row>
    <row r="30" spans="1:26" s="168" customFormat="1" x14ac:dyDescent="0.45">
      <c r="A30" s="140" t="s">
        <v>290</v>
      </c>
      <c r="B30" s="254"/>
      <c r="D30" s="210">
        <v>0</v>
      </c>
      <c r="E30" s="210"/>
      <c r="F30" s="210">
        <v>0</v>
      </c>
      <c r="G30" s="210"/>
      <c r="H30" s="210">
        <v>0</v>
      </c>
      <c r="I30" s="210"/>
      <c r="J30" s="210">
        <v>0</v>
      </c>
      <c r="K30" s="210"/>
      <c r="L30" s="210">
        <v>0</v>
      </c>
      <c r="M30" s="210"/>
      <c r="N30" s="209">
        <v>0</v>
      </c>
      <c r="O30" s="210"/>
      <c r="P30" s="210">
        <v>0</v>
      </c>
      <c r="Q30" s="210"/>
      <c r="R30" s="210">
        <v>17495711.940000001</v>
      </c>
      <c r="S30" s="210"/>
      <c r="T30" s="210">
        <f>-R30</f>
        <v>-17495711.940000001</v>
      </c>
      <c r="U30" s="210"/>
      <c r="V30" s="210">
        <v>0</v>
      </c>
      <c r="W30" s="210"/>
      <c r="X30" s="209">
        <f>SUM(D30:V30)</f>
        <v>0</v>
      </c>
      <c r="Z30" s="162"/>
    </row>
    <row r="31" spans="1:26" s="168" customFormat="1" x14ac:dyDescent="0.45">
      <c r="A31" s="192" t="s">
        <v>294</v>
      </c>
      <c r="D31" s="209">
        <v>0</v>
      </c>
      <c r="E31" s="209"/>
      <c r="F31" s="209">
        <v>0</v>
      </c>
      <c r="G31" s="209"/>
      <c r="H31" s="209">
        <v>0</v>
      </c>
      <c r="I31" s="209"/>
      <c r="J31" s="209">
        <v>0</v>
      </c>
      <c r="K31" s="209"/>
      <c r="L31" s="209">
        <v>0</v>
      </c>
      <c r="M31" s="209"/>
      <c r="N31" s="209">
        <v>0</v>
      </c>
      <c r="O31" s="209"/>
      <c r="P31" s="209">
        <v>0</v>
      </c>
      <c r="Q31" s="209"/>
      <c r="R31" s="209">
        <v>0</v>
      </c>
      <c r="S31" s="209"/>
      <c r="T31" s="209">
        <f>+'PL_Q4-62'!J36</f>
        <v>1265185160.8899999</v>
      </c>
      <c r="U31" s="209"/>
      <c r="V31" s="209">
        <f>+'PL_Q4-62'!J74</f>
        <v>0</v>
      </c>
      <c r="W31" s="209"/>
      <c r="X31" s="209">
        <f>SUM(D31:V31)</f>
        <v>1265185160.8899999</v>
      </c>
      <c r="Y31" s="168">
        <f>T31-'PL_Q4-62'!J36</f>
        <v>0</v>
      </c>
    </row>
    <row r="32" spans="1:26" ht="7.5" customHeight="1" x14ac:dyDescent="0.45">
      <c r="D32" s="211"/>
      <c r="E32" s="210"/>
      <c r="F32" s="211"/>
      <c r="G32" s="209"/>
      <c r="H32" s="211"/>
      <c r="I32" s="210"/>
      <c r="J32" s="211"/>
      <c r="K32" s="209"/>
      <c r="L32" s="211"/>
      <c r="M32" s="209"/>
      <c r="N32" s="211"/>
      <c r="O32" s="209"/>
      <c r="P32" s="211"/>
      <c r="Q32" s="210"/>
      <c r="R32" s="211"/>
      <c r="S32" s="210"/>
      <c r="T32" s="211"/>
      <c r="U32" s="209"/>
      <c r="V32" s="211"/>
      <c r="W32" s="209"/>
      <c r="X32" s="211"/>
    </row>
    <row r="33" spans="1:37" ht="21.75" thickBot="1" x14ac:dyDescent="0.5">
      <c r="A33" s="105" t="s">
        <v>363</v>
      </c>
      <c r="D33" s="212">
        <f>SUM(D24:D32)</f>
        <v>704952772.88</v>
      </c>
      <c r="E33" s="210"/>
      <c r="F33" s="259">
        <f>SUM(F24:F32)</f>
        <v>0</v>
      </c>
      <c r="G33" s="209"/>
      <c r="H33" s="212">
        <f>SUM(H24:H32)</f>
        <v>145142321.73000002</v>
      </c>
      <c r="I33" s="210"/>
      <c r="J33" s="212">
        <f>SUM(J24:J32)</f>
        <v>1017450</v>
      </c>
      <c r="K33" s="209"/>
      <c r="L33" s="212">
        <f>SUM(L29:L31)</f>
        <v>0</v>
      </c>
      <c r="M33" s="209"/>
      <c r="N33" s="212">
        <f>SUM(N29:N31)</f>
        <v>0</v>
      </c>
      <c r="O33" s="209"/>
      <c r="P33" s="212">
        <f>SUM(P29:P31)</f>
        <v>0</v>
      </c>
      <c r="Q33" s="210"/>
      <c r="R33" s="212">
        <f>SUM(R24:R32)</f>
        <v>88087576.040000007</v>
      </c>
      <c r="S33" s="210"/>
      <c r="T33" s="212">
        <f>SUM(T24:T32)</f>
        <v>1613654354.8599999</v>
      </c>
      <c r="U33" s="209"/>
      <c r="V33" s="212">
        <f>SUM(V24:V32)</f>
        <v>0</v>
      </c>
      <c r="W33" s="209"/>
      <c r="X33" s="212">
        <f>SUM(X24:X32)</f>
        <v>2552854475.5100002</v>
      </c>
      <c r="Y33" s="105">
        <f>X33-'BS_Q4-62'!J113</f>
        <v>0</v>
      </c>
    </row>
    <row r="34" spans="1:37" ht="9.75" customHeight="1" thickTop="1" x14ac:dyDescent="0.45">
      <c r="D34" s="213"/>
      <c r="E34" s="213"/>
      <c r="F34" s="213"/>
      <c r="G34" s="213"/>
      <c r="H34" s="213"/>
      <c r="I34" s="213"/>
      <c r="J34" s="213"/>
      <c r="K34" s="213"/>
      <c r="L34" s="213"/>
      <c r="M34" s="213"/>
      <c r="N34" s="213"/>
      <c r="O34" s="213"/>
      <c r="P34" s="213"/>
      <c r="Q34" s="213"/>
      <c r="R34" s="213"/>
      <c r="S34" s="213"/>
      <c r="T34" s="213"/>
      <c r="U34" s="213"/>
      <c r="V34" s="213"/>
      <c r="W34" s="213"/>
      <c r="X34" s="213"/>
    </row>
    <row r="35" spans="1:37" x14ac:dyDescent="0.45">
      <c r="D35" s="213"/>
      <c r="E35" s="213"/>
      <c r="F35" s="213"/>
      <c r="G35" s="213"/>
      <c r="H35" s="213"/>
      <c r="I35" s="213"/>
      <c r="J35" s="213"/>
      <c r="K35" s="213"/>
      <c r="L35" s="213"/>
      <c r="M35" s="213"/>
      <c r="N35" s="213"/>
      <c r="O35" s="213"/>
      <c r="P35" s="213"/>
      <c r="Q35" s="213"/>
      <c r="R35" s="213"/>
      <c r="S35" s="213"/>
      <c r="T35" s="213"/>
      <c r="U35" s="213"/>
      <c r="V35" s="213"/>
      <c r="W35" s="213"/>
      <c r="X35" s="213"/>
    </row>
    <row r="36" spans="1:37" x14ac:dyDescent="0.45">
      <c r="A36" s="106" t="s">
        <v>292</v>
      </c>
    </row>
    <row r="37" spans="1:37" x14ac:dyDescent="0.45">
      <c r="A37" s="163"/>
    </row>
    <row r="38" spans="1:37" s="160" customFormat="1" x14ac:dyDescent="0.45">
      <c r="A38" s="119"/>
      <c r="C38" s="116"/>
      <c r="D38" s="119"/>
      <c r="E38" s="116"/>
      <c r="F38" s="116"/>
      <c r="G38" s="116"/>
      <c r="H38" s="116"/>
      <c r="I38" s="116"/>
      <c r="J38" s="119"/>
      <c r="K38" s="119"/>
      <c r="L38" s="119"/>
      <c r="M38" s="119"/>
      <c r="N38" s="119"/>
      <c r="O38" s="119"/>
      <c r="P38" s="119"/>
      <c r="Q38" s="116"/>
      <c r="R38" s="116"/>
      <c r="S38" s="116"/>
      <c r="T38" s="116"/>
      <c r="U38" s="116"/>
      <c r="V38" s="116"/>
      <c r="W38" s="116"/>
      <c r="X38" s="116"/>
      <c r="Y38" s="116"/>
      <c r="Z38" s="175"/>
      <c r="AA38" s="175"/>
      <c r="AB38" s="176"/>
      <c r="AC38" s="175"/>
      <c r="AD38" s="175"/>
      <c r="AE38" s="175"/>
      <c r="AF38" s="175"/>
      <c r="AG38" s="175"/>
      <c r="AH38" s="175"/>
      <c r="AI38" s="175"/>
      <c r="AJ38" s="175"/>
      <c r="AK38" s="175"/>
    </row>
    <row r="39" spans="1:37" s="160" customFormat="1" x14ac:dyDescent="0.45">
      <c r="A39" s="119" t="s">
        <v>146</v>
      </c>
      <c r="C39" s="116"/>
      <c r="D39" s="119"/>
      <c r="E39" s="116"/>
      <c r="F39" s="116"/>
      <c r="G39" s="116"/>
      <c r="H39" s="116"/>
      <c r="I39" s="116"/>
      <c r="J39" s="119" t="s">
        <v>146</v>
      </c>
      <c r="K39" s="119"/>
      <c r="L39" s="119"/>
      <c r="M39" s="119"/>
      <c r="N39" s="119"/>
      <c r="O39" s="119"/>
      <c r="P39" s="119"/>
      <c r="Q39" s="116"/>
      <c r="R39" s="116"/>
      <c r="S39" s="116"/>
      <c r="T39" s="116"/>
      <c r="U39" s="116"/>
      <c r="V39" s="116"/>
      <c r="W39" s="116"/>
      <c r="X39" s="116"/>
      <c r="Y39" s="116"/>
      <c r="Z39" s="175"/>
      <c r="AA39" s="175"/>
      <c r="AB39" s="176"/>
      <c r="AC39" s="175"/>
      <c r="AD39" s="175"/>
      <c r="AE39" s="175"/>
      <c r="AF39" s="175"/>
      <c r="AG39" s="175"/>
      <c r="AH39" s="175"/>
      <c r="AI39" s="175"/>
      <c r="AJ39" s="175"/>
      <c r="AK39" s="175"/>
    </row>
    <row r="40" spans="1:37" x14ac:dyDescent="0.45">
      <c r="A40" s="165"/>
    </row>
  </sheetData>
  <mergeCells count="7">
    <mergeCell ref="R8:T8"/>
    <mergeCell ref="V1:X1"/>
    <mergeCell ref="D7:X7"/>
    <mergeCell ref="A3:X3"/>
    <mergeCell ref="A4:X4"/>
    <mergeCell ref="A5:X5"/>
    <mergeCell ref="A6:X6"/>
  </mergeCells>
  <phoneticPr fontId="0" type="noConversion"/>
  <printOptions horizontalCentered="1"/>
  <pageMargins left="0.6" right="0.5" top="0.35" bottom="0.4" header="0.30496063000000001" footer="0.16"/>
  <pageSetup paperSize="9" scale="79" orientation="landscape" r:id="rId1"/>
  <headerFooter alignWithMargins="0">
    <oddFooter>&amp;C5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21"/>
  <sheetViews>
    <sheetView view="pageBreakPreview" zoomScale="120" zoomScaleNormal="120" zoomScaleSheetLayoutView="120" workbookViewId="0">
      <selection activeCell="D16" sqref="D16"/>
    </sheetView>
  </sheetViews>
  <sheetFormatPr defaultRowHeight="16.5" customHeight="1" x14ac:dyDescent="0.4"/>
  <cols>
    <col min="1" max="3" width="2.7109375" style="23" customWidth="1"/>
    <col min="4" max="4" width="39.7109375" style="23" customWidth="1"/>
    <col min="5" max="5" width="7.7109375" style="16" customWidth="1"/>
    <col min="6" max="6" width="1.28515625" style="16" customWidth="1"/>
    <col min="7" max="7" width="12.42578125" style="23" customWidth="1"/>
    <col min="8" max="8" width="0.7109375" style="23" customWidth="1"/>
    <col min="9" max="9" width="13" style="23" customWidth="1"/>
    <col min="10" max="10" width="0.5703125" style="23" customWidth="1"/>
    <col min="11" max="11" width="12.28515625" style="157" bestFit="1" customWidth="1"/>
    <col min="12" max="12" width="0.7109375" style="23" customWidth="1"/>
    <col min="13" max="13" width="12.28515625" style="23" bestFit="1" customWidth="1"/>
    <col min="14" max="14" width="1.7109375" style="23" customWidth="1"/>
    <col min="15" max="15" width="12.7109375" style="23" hidden="1" customWidth="1"/>
    <col min="16" max="16" width="13.28515625" style="23" hidden="1" customWidth="1"/>
    <col min="17" max="16384" width="9.140625" style="23"/>
  </cols>
  <sheetData>
    <row r="1" spans="1:15" ht="16.5" customHeight="1" x14ac:dyDescent="0.4">
      <c r="A1" s="5" t="s">
        <v>205</v>
      </c>
      <c r="M1" s="268"/>
    </row>
    <row r="2" spans="1:15" ht="16.5" customHeight="1" x14ac:dyDescent="0.4">
      <c r="M2" s="268"/>
    </row>
    <row r="3" spans="1:15" ht="16.5" customHeight="1" x14ac:dyDescent="0.4">
      <c r="A3" s="275" t="s">
        <v>131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</row>
    <row r="4" spans="1:15" ht="16.5" customHeight="1" x14ac:dyDescent="0.4">
      <c r="A4" s="280" t="s">
        <v>180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</row>
    <row r="5" spans="1:15" ht="16.5" customHeight="1" x14ac:dyDescent="0.4">
      <c r="A5" s="280" t="s">
        <v>357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</row>
    <row r="6" spans="1:15" ht="16.5" customHeight="1" x14ac:dyDescent="0.4">
      <c r="A6" s="269"/>
      <c r="B6" s="269"/>
      <c r="C6" s="269"/>
      <c r="D6" s="269"/>
      <c r="E6" s="96"/>
      <c r="F6" s="96"/>
      <c r="G6" s="291" t="s">
        <v>167</v>
      </c>
      <c r="H6" s="291"/>
      <c r="I6" s="291"/>
      <c r="J6" s="291"/>
      <c r="K6" s="291"/>
      <c r="L6" s="291"/>
      <c r="M6" s="291"/>
    </row>
    <row r="7" spans="1:15" ht="16.5" customHeight="1" x14ac:dyDescent="0.4">
      <c r="E7" s="96"/>
      <c r="F7" s="96"/>
      <c r="G7" s="273" t="s">
        <v>210</v>
      </c>
      <c r="H7" s="273"/>
      <c r="I7" s="273"/>
      <c r="J7" s="97"/>
      <c r="K7" s="273" t="s">
        <v>211</v>
      </c>
      <c r="L7" s="273"/>
      <c r="M7" s="273"/>
    </row>
    <row r="8" spans="1:15" ht="16.5" customHeight="1" x14ac:dyDescent="0.4">
      <c r="E8" s="96"/>
      <c r="F8" s="96"/>
      <c r="G8" s="273" t="s">
        <v>296</v>
      </c>
      <c r="H8" s="273"/>
      <c r="I8" s="273"/>
      <c r="J8" s="97"/>
      <c r="K8" s="273" t="s">
        <v>296</v>
      </c>
      <c r="L8" s="273"/>
      <c r="M8" s="273"/>
    </row>
    <row r="9" spans="1:15" ht="16.5" customHeight="1" x14ac:dyDescent="0.4">
      <c r="E9" s="96"/>
      <c r="F9" s="98"/>
      <c r="G9" s="239">
        <v>2019</v>
      </c>
      <c r="H9" s="96"/>
      <c r="I9" s="239">
        <v>2018</v>
      </c>
      <c r="J9" s="97"/>
      <c r="K9" s="240">
        <f>+G9</f>
        <v>2019</v>
      </c>
      <c r="L9" s="96"/>
      <c r="M9" s="240">
        <f>+I9</f>
        <v>2018</v>
      </c>
      <c r="N9" s="12"/>
      <c r="O9" s="35"/>
    </row>
    <row r="10" spans="1:15" ht="16.5" customHeight="1" x14ac:dyDescent="0.4">
      <c r="A10" s="23" t="s">
        <v>181</v>
      </c>
      <c r="B10" s="18"/>
      <c r="C10" s="18"/>
      <c r="D10" s="18"/>
      <c r="E10" s="96"/>
      <c r="F10" s="26"/>
      <c r="G10" s="181"/>
      <c r="H10" s="181"/>
      <c r="I10" s="181"/>
      <c r="J10" s="157"/>
      <c r="L10" s="157"/>
      <c r="M10" s="157"/>
    </row>
    <row r="11" spans="1:15" ht="16.5" customHeight="1" x14ac:dyDescent="0.4">
      <c r="A11" s="18"/>
      <c r="B11" s="23" t="s">
        <v>286</v>
      </c>
      <c r="C11" s="18"/>
      <c r="D11" s="18"/>
      <c r="E11" s="96"/>
      <c r="F11" s="26"/>
      <c r="G11" s="201">
        <f>+'PL_Q4-62'!F33</f>
        <v>736988327.84000003</v>
      </c>
      <c r="H11" s="201"/>
      <c r="I11" s="201">
        <f>+'PL_Q4-62'!H33</f>
        <v>3211457.549999997</v>
      </c>
      <c r="J11" s="201"/>
      <c r="K11" s="201">
        <f>+'PL_Q4-62'!J33</f>
        <v>1265185160.8899999</v>
      </c>
      <c r="L11" s="201"/>
      <c r="M11" s="201">
        <f>+'PL_Q4-62'!L33</f>
        <v>561094037.83999991</v>
      </c>
    </row>
    <row r="12" spans="1:15" ht="16.5" customHeight="1" x14ac:dyDescent="0.4">
      <c r="A12" s="18"/>
      <c r="B12" s="23" t="s">
        <v>183</v>
      </c>
      <c r="C12" s="18"/>
      <c r="D12" s="18"/>
      <c r="E12" s="96"/>
      <c r="F12" s="26"/>
      <c r="G12" s="201"/>
      <c r="H12" s="201"/>
      <c r="I12" s="201"/>
      <c r="J12" s="201"/>
      <c r="K12" s="201"/>
      <c r="L12" s="201"/>
      <c r="M12" s="201"/>
    </row>
    <row r="13" spans="1:15" ht="16.5" customHeight="1" x14ac:dyDescent="0.4">
      <c r="A13" s="18"/>
      <c r="C13" s="23" t="s">
        <v>204</v>
      </c>
      <c r="D13" s="18"/>
      <c r="E13" s="26"/>
      <c r="F13" s="26"/>
      <c r="G13" s="201"/>
      <c r="H13" s="201"/>
      <c r="I13" s="201"/>
      <c r="J13" s="201"/>
      <c r="K13" s="201"/>
      <c r="L13" s="201"/>
      <c r="M13" s="201"/>
    </row>
    <row r="14" spans="1:15" ht="16.5" customHeight="1" x14ac:dyDescent="0.4">
      <c r="A14" s="18"/>
      <c r="C14" s="23" t="s">
        <v>182</v>
      </c>
      <c r="D14" s="23" t="s">
        <v>184</v>
      </c>
      <c r="E14" s="27" t="s">
        <v>347</v>
      </c>
      <c r="F14" s="26"/>
      <c r="G14" s="201">
        <v>3647233.63</v>
      </c>
      <c r="H14" s="201"/>
      <c r="I14" s="201">
        <v>3970621.18</v>
      </c>
      <c r="J14" s="201"/>
      <c r="K14" s="201">
        <v>3280830.39</v>
      </c>
      <c r="L14" s="201"/>
      <c r="M14" s="201">
        <v>3944794.02</v>
      </c>
    </row>
    <row r="15" spans="1:15" ht="16.5" customHeight="1" x14ac:dyDescent="0.4">
      <c r="A15" s="18"/>
      <c r="B15" s="18"/>
      <c r="C15" s="18"/>
      <c r="D15" s="18" t="s">
        <v>226</v>
      </c>
      <c r="E15" s="27">
        <v>10</v>
      </c>
      <c r="F15" s="26"/>
      <c r="G15" s="201">
        <v>219210958.91999999</v>
      </c>
      <c r="H15" s="201"/>
      <c r="I15" s="201">
        <v>-3400000</v>
      </c>
      <c r="J15" s="201"/>
      <c r="K15" s="201">
        <v>219210958.91999999</v>
      </c>
      <c r="L15" s="201"/>
      <c r="M15" s="201">
        <v>-3000000</v>
      </c>
    </row>
    <row r="16" spans="1:15" ht="16.5" customHeight="1" x14ac:dyDescent="0.4">
      <c r="A16" s="18"/>
      <c r="B16" s="18"/>
      <c r="C16" s="18"/>
      <c r="D16" s="18" t="s">
        <v>313</v>
      </c>
      <c r="E16" s="27"/>
      <c r="F16" s="26"/>
      <c r="G16" s="201">
        <v>0</v>
      </c>
      <c r="H16" s="201"/>
      <c r="I16" s="201">
        <v>-1000000</v>
      </c>
      <c r="J16" s="201"/>
      <c r="K16" s="201">
        <v>0</v>
      </c>
      <c r="L16" s="201"/>
      <c r="M16" s="201">
        <v>-1000000</v>
      </c>
    </row>
    <row r="17" spans="1:13" ht="16.5" customHeight="1" x14ac:dyDescent="0.4">
      <c r="A17" s="18"/>
      <c r="B17" s="18"/>
      <c r="C17" s="18"/>
      <c r="D17" s="18" t="s">
        <v>376</v>
      </c>
      <c r="E17" s="270" t="s">
        <v>377</v>
      </c>
      <c r="F17" s="26"/>
      <c r="G17" s="201">
        <v>-587222864</v>
      </c>
      <c r="H17" s="201"/>
      <c r="I17" s="201">
        <v>0</v>
      </c>
      <c r="J17" s="201"/>
      <c r="K17" s="201">
        <v>-587222864</v>
      </c>
      <c r="L17" s="201"/>
      <c r="M17" s="201">
        <v>0</v>
      </c>
    </row>
    <row r="18" spans="1:13" ht="16.5" customHeight="1" x14ac:dyDescent="0.4">
      <c r="A18" s="18"/>
      <c r="B18" s="18"/>
      <c r="C18" s="18"/>
      <c r="D18" s="22" t="s">
        <v>207</v>
      </c>
      <c r="E18" s="179" t="s">
        <v>270</v>
      </c>
      <c r="F18" s="27"/>
      <c r="G18" s="201">
        <v>243462519.24000001</v>
      </c>
      <c r="H18" s="202"/>
      <c r="I18" s="201">
        <v>232278315.22999999</v>
      </c>
      <c r="J18" s="202"/>
      <c r="K18" s="201">
        <v>157880559.36000001</v>
      </c>
      <c r="L18" s="201"/>
      <c r="M18" s="201">
        <v>125929231.51000001</v>
      </c>
    </row>
    <row r="19" spans="1:13" ht="16.5" customHeight="1" x14ac:dyDescent="0.4">
      <c r="A19" s="18"/>
      <c r="B19" s="18"/>
      <c r="C19" s="18"/>
      <c r="D19" s="45" t="s">
        <v>228</v>
      </c>
      <c r="E19" s="23"/>
      <c r="F19" s="23"/>
      <c r="G19" s="197">
        <v>0</v>
      </c>
      <c r="H19" s="197"/>
      <c r="I19" s="197">
        <v>0</v>
      </c>
      <c r="J19" s="197"/>
      <c r="K19" s="197">
        <v>-560010720</v>
      </c>
      <c r="L19" s="197"/>
      <c r="M19" s="197">
        <v>-445340480</v>
      </c>
    </row>
    <row r="20" spans="1:13" ht="16.5" customHeight="1" x14ac:dyDescent="0.4">
      <c r="A20" s="18"/>
      <c r="B20" s="18"/>
      <c r="C20" s="18"/>
      <c r="D20" s="45" t="s">
        <v>340</v>
      </c>
      <c r="E20" s="267"/>
      <c r="F20" s="27"/>
      <c r="G20" s="201">
        <v>-21177679.09</v>
      </c>
      <c r="H20" s="202"/>
      <c r="I20" s="201">
        <v>-13802188.710000001</v>
      </c>
      <c r="J20" s="202"/>
      <c r="K20" s="197">
        <v>-19460437.34</v>
      </c>
      <c r="L20" s="201"/>
      <c r="M20" s="197">
        <v>-13264772.109999999</v>
      </c>
    </row>
    <row r="21" spans="1:13" ht="16.5" customHeight="1" x14ac:dyDescent="0.4">
      <c r="A21" s="18"/>
      <c r="B21" s="18"/>
      <c r="C21" s="18"/>
      <c r="D21" s="45" t="s">
        <v>287</v>
      </c>
      <c r="E21" s="267">
        <v>16</v>
      </c>
      <c r="F21" s="27"/>
      <c r="G21" s="201">
        <v>2366482</v>
      </c>
      <c r="H21" s="202"/>
      <c r="I21" s="201">
        <v>-194527</v>
      </c>
      <c r="J21" s="202"/>
      <c r="K21" s="201">
        <v>2156485.67</v>
      </c>
      <c r="L21" s="201"/>
      <c r="M21" s="201">
        <v>-111255</v>
      </c>
    </row>
    <row r="22" spans="1:13" ht="16.5" customHeight="1" x14ac:dyDescent="0.4">
      <c r="A22" s="18"/>
      <c r="B22" s="18"/>
      <c r="C22" s="18"/>
      <c r="D22" s="45" t="s">
        <v>301</v>
      </c>
      <c r="E22" s="267">
        <v>18.100000000000001</v>
      </c>
      <c r="F22" s="27"/>
      <c r="G22" s="23">
        <v>169484160.31999999</v>
      </c>
      <c r="I22" s="23">
        <v>66664693.479999997</v>
      </c>
      <c r="K22" s="201">
        <v>169484160.31999999</v>
      </c>
      <c r="M22" s="201">
        <v>66664693.479999997</v>
      </c>
    </row>
    <row r="23" spans="1:13" ht="16.5" customHeight="1" x14ac:dyDescent="0.4">
      <c r="A23" s="18"/>
      <c r="B23" s="18"/>
      <c r="C23" s="18"/>
      <c r="D23" s="45" t="s">
        <v>288</v>
      </c>
      <c r="E23" s="267">
        <v>18.100000000000001</v>
      </c>
      <c r="F23" s="27"/>
      <c r="G23" s="202">
        <v>-395940.45</v>
      </c>
      <c r="H23" s="202"/>
      <c r="I23" s="202">
        <v>-38364544.399999999</v>
      </c>
      <c r="J23" s="202"/>
      <c r="K23" s="23">
        <v>6371291.3499999996</v>
      </c>
      <c r="L23" s="202"/>
      <c r="M23" s="23">
        <v>-37981339.600000001</v>
      </c>
    </row>
    <row r="24" spans="1:13" ht="16.5" customHeight="1" x14ac:dyDescent="0.4">
      <c r="A24" s="18"/>
      <c r="B24" s="18"/>
      <c r="C24" s="18"/>
      <c r="D24" s="45" t="s">
        <v>220</v>
      </c>
      <c r="E24" s="27"/>
      <c r="F24" s="27"/>
      <c r="G24" s="199">
        <v>14117960.34</v>
      </c>
      <c r="H24" s="201"/>
      <c r="I24" s="199">
        <v>12770790.76</v>
      </c>
      <c r="J24" s="201"/>
      <c r="K24" s="199">
        <v>14508122.42</v>
      </c>
      <c r="L24" s="201"/>
      <c r="M24" s="199">
        <v>14614363.6</v>
      </c>
    </row>
    <row r="25" spans="1:13" ht="16.5" customHeight="1" x14ac:dyDescent="0.4">
      <c r="A25" s="18"/>
      <c r="B25" s="18" t="s">
        <v>257</v>
      </c>
      <c r="C25" s="18"/>
      <c r="D25" s="18"/>
      <c r="E25" s="27"/>
      <c r="F25" s="27"/>
      <c r="G25" s="201">
        <f>+SUM(G11:G24)</f>
        <v>780481158.74999988</v>
      </c>
      <c r="H25" s="202"/>
      <c r="I25" s="201">
        <f>+SUM(I11:I24)</f>
        <v>262134618.08999994</v>
      </c>
      <c r="J25" s="202"/>
      <c r="K25" s="201">
        <f>+SUM(K11:K24)</f>
        <v>671383547.98000002</v>
      </c>
      <c r="L25" s="202"/>
      <c r="M25" s="201">
        <f>+SUM(M11:M24)</f>
        <v>271549273.73999989</v>
      </c>
    </row>
    <row r="26" spans="1:13" ht="16.5" customHeight="1" x14ac:dyDescent="0.4">
      <c r="A26" s="18"/>
      <c r="B26" s="248" t="s">
        <v>185</v>
      </c>
      <c r="C26" s="18"/>
      <c r="D26" s="18"/>
      <c r="E26" s="27"/>
      <c r="F26" s="27"/>
      <c r="G26" s="201"/>
      <c r="H26" s="202"/>
      <c r="I26" s="201"/>
      <c r="J26" s="202"/>
      <c r="K26" s="201"/>
      <c r="L26" s="202"/>
      <c r="M26" s="201"/>
    </row>
    <row r="27" spans="1:13" ht="16.5" customHeight="1" x14ac:dyDescent="0.4">
      <c r="A27" s="18"/>
      <c r="B27" s="18"/>
      <c r="C27" s="152" t="s">
        <v>260</v>
      </c>
      <c r="D27" s="18"/>
      <c r="E27" s="38">
        <v>4.3</v>
      </c>
      <c r="F27" s="26"/>
      <c r="G27" s="201">
        <v>-80495624.799999997</v>
      </c>
      <c r="H27" s="201"/>
      <c r="I27" s="201">
        <v>173518878.66999999</v>
      </c>
      <c r="J27" s="201"/>
      <c r="K27" s="201">
        <v>-149910656.86000001</v>
      </c>
      <c r="L27" s="201"/>
      <c r="M27" s="201">
        <v>167479551.09</v>
      </c>
    </row>
    <row r="28" spans="1:13" ht="16.5" customHeight="1" x14ac:dyDescent="0.4">
      <c r="A28" s="18"/>
      <c r="B28" s="18"/>
      <c r="C28" s="18" t="s">
        <v>248</v>
      </c>
      <c r="D28" s="18"/>
      <c r="E28" s="26">
        <v>5</v>
      </c>
      <c r="F28" s="26"/>
      <c r="G28" s="201">
        <v>138217994.16</v>
      </c>
      <c r="H28" s="201"/>
      <c r="I28" s="201">
        <v>30451670.100000001</v>
      </c>
      <c r="J28" s="201"/>
      <c r="K28" s="201">
        <v>35913558.240000002</v>
      </c>
      <c r="L28" s="201"/>
      <c r="M28" s="201">
        <v>-34984755.579999998</v>
      </c>
    </row>
    <row r="29" spans="1:13" ht="16.5" customHeight="1" x14ac:dyDescent="0.4">
      <c r="A29" s="18"/>
      <c r="B29" s="18"/>
      <c r="C29" s="18" t="s">
        <v>247</v>
      </c>
      <c r="D29" s="18"/>
      <c r="E29" s="38">
        <v>2.2000000000000002</v>
      </c>
      <c r="F29" s="26"/>
      <c r="G29" s="201">
        <v>-10034174.560000001</v>
      </c>
      <c r="H29" s="201"/>
      <c r="I29" s="201">
        <v>3760032.95</v>
      </c>
      <c r="J29" s="201"/>
      <c r="K29" s="201">
        <v>-13076286.140000001</v>
      </c>
      <c r="L29" s="201"/>
      <c r="M29" s="201">
        <v>-1074050.6399999999</v>
      </c>
    </row>
    <row r="30" spans="1:13" s="252" customFormat="1" ht="16.5" customHeight="1" x14ac:dyDescent="0.4">
      <c r="A30" s="18"/>
      <c r="B30" s="18"/>
      <c r="C30" s="18" t="s">
        <v>268</v>
      </c>
      <c r="D30" s="18"/>
      <c r="E30" s="26">
        <v>6</v>
      </c>
      <c r="F30" s="26"/>
      <c r="G30" s="201">
        <v>24869191.989999998</v>
      </c>
      <c r="H30" s="201"/>
      <c r="I30" s="201">
        <v>-48179482.789999999</v>
      </c>
      <c r="J30" s="201"/>
      <c r="K30" s="201">
        <v>24938717.32</v>
      </c>
      <c r="L30" s="201"/>
      <c r="M30" s="201">
        <v>-53705673.340000004</v>
      </c>
    </row>
    <row r="31" spans="1:13" ht="16.5" customHeight="1" x14ac:dyDescent="0.4">
      <c r="A31" s="18"/>
      <c r="B31" s="18"/>
      <c r="C31" s="18" t="s">
        <v>267</v>
      </c>
      <c r="D31" s="18"/>
      <c r="E31" s="38">
        <v>2.2999999999999998</v>
      </c>
      <c r="F31" s="26"/>
      <c r="G31" s="201">
        <v>0</v>
      </c>
      <c r="H31" s="201"/>
      <c r="I31" s="201">
        <v>0</v>
      </c>
      <c r="J31" s="201"/>
      <c r="K31" s="201">
        <v>67621608.519999996</v>
      </c>
      <c r="L31" s="201"/>
      <c r="M31" s="201">
        <v>-74112595.909999996</v>
      </c>
    </row>
    <row r="32" spans="1:13" ht="16.5" customHeight="1" x14ac:dyDescent="0.4">
      <c r="A32" s="18"/>
      <c r="B32" s="18"/>
      <c r="C32" s="18" t="s">
        <v>188</v>
      </c>
      <c r="D32" s="18"/>
      <c r="E32" s="26"/>
      <c r="F32" s="26"/>
      <c r="G32" s="201">
        <v>-4321966.91</v>
      </c>
      <c r="H32" s="201"/>
      <c r="I32" s="201">
        <v>-2011564.67</v>
      </c>
      <c r="J32" s="201"/>
      <c r="K32" s="201">
        <v>-4191016.58</v>
      </c>
      <c r="L32" s="201"/>
      <c r="M32" s="201">
        <v>-2366889.2599999998</v>
      </c>
    </row>
    <row r="33" spans="1:13" ht="16.5" customHeight="1" x14ac:dyDescent="0.4">
      <c r="A33" s="18"/>
      <c r="B33" s="18"/>
      <c r="C33" s="18" t="s">
        <v>141</v>
      </c>
      <c r="D33" s="18"/>
      <c r="E33" s="26"/>
      <c r="F33" s="26"/>
      <c r="G33" s="201">
        <v>-76854198.870000005</v>
      </c>
      <c r="H33" s="201"/>
      <c r="I33" s="201">
        <v>4621693.8099999996</v>
      </c>
      <c r="J33" s="201"/>
      <c r="K33" s="201">
        <v>-76821627.25</v>
      </c>
      <c r="L33" s="201"/>
      <c r="M33" s="201">
        <v>3943776.35</v>
      </c>
    </row>
    <row r="34" spans="1:13" ht="16.5" customHeight="1" x14ac:dyDescent="0.4">
      <c r="A34" s="18"/>
      <c r="B34" s="18" t="s">
        <v>189</v>
      </c>
      <c r="C34" s="18"/>
      <c r="D34" s="18"/>
      <c r="E34" s="26"/>
      <c r="F34" s="26"/>
      <c r="G34" s="201"/>
      <c r="H34" s="201"/>
      <c r="I34" s="201"/>
      <c r="J34" s="201"/>
      <c r="K34" s="201"/>
      <c r="L34" s="201"/>
      <c r="M34" s="201"/>
    </row>
    <row r="35" spans="1:13" ht="16.5" customHeight="1" x14ac:dyDescent="0.4">
      <c r="A35" s="18"/>
      <c r="B35" s="18"/>
      <c r="C35" s="18" t="s">
        <v>250</v>
      </c>
      <c r="D35" s="18"/>
      <c r="E35" s="26">
        <v>13</v>
      </c>
      <c r="F35" s="26"/>
      <c r="G35" s="201">
        <v>197786449.49000001</v>
      </c>
      <c r="H35" s="201"/>
      <c r="I35" s="201">
        <v>460350.67</v>
      </c>
      <c r="J35" s="201"/>
      <c r="K35" s="201">
        <v>194140800</v>
      </c>
      <c r="L35" s="201"/>
      <c r="M35" s="201">
        <v>0</v>
      </c>
    </row>
    <row r="36" spans="1:13" ht="16.5" customHeight="1" x14ac:dyDescent="0.4">
      <c r="A36" s="18"/>
      <c r="B36" s="18"/>
      <c r="C36" s="18" t="s">
        <v>249</v>
      </c>
      <c r="D36" s="18"/>
      <c r="E36" s="38">
        <v>2.5</v>
      </c>
      <c r="F36" s="26"/>
      <c r="G36" s="201">
        <v>0</v>
      </c>
      <c r="H36" s="201"/>
      <c r="I36" s="201">
        <v>0</v>
      </c>
      <c r="J36" s="201"/>
      <c r="K36" s="201">
        <v>89540000</v>
      </c>
      <c r="L36" s="201"/>
      <c r="M36" s="201">
        <v>-92970000</v>
      </c>
    </row>
    <row r="37" spans="1:13" ht="16.5" customHeight="1" x14ac:dyDescent="0.4">
      <c r="A37" s="18"/>
      <c r="B37" s="18"/>
      <c r="C37" s="18" t="s">
        <v>271</v>
      </c>
      <c r="D37" s="18"/>
      <c r="E37" s="26">
        <v>14</v>
      </c>
      <c r="F37" s="26"/>
      <c r="G37" s="201">
        <v>56241734.359999999</v>
      </c>
      <c r="H37" s="201"/>
      <c r="I37" s="201">
        <v>-8195618.2199999997</v>
      </c>
      <c r="J37" s="201"/>
      <c r="K37" s="201">
        <v>46661841.130000003</v>
      </c>
      <c r="L37" s="201"/>
      <c r="M37" s="201">
        <v>-7606691.9500000002</v>
      </c>
    </row>
    <row r="38" spans="1:13" ht="16.5" customHeight="1" x14ac:dyDescent="0.4">
      <c r="A38" s="18"/>
      <c r="B38" s="18"/>
      <c r="C38" s="18" t="s">
        <v>305</v>
      </c>
      <c r="D38" s="18"/>
      <c r="E38" s="38">
        <v>2.6</v>
      </c>
      <c r="F38" s="26"/>
      <c r="G38" s="201">
        <v>0</v>
      </c>
      <c r="H38" s="201"/>
      <c r="I38" s="201">
        <v>0</v>
      </c>
      <c r="J38" s="201"/>
      <c r="K38" s="201">
        <v>0</v>
      </c>
      <c r="L38" s="201"/>
      <c r="M38" s="201">
        <v>-5329025.17</v>
      </c>
    </row>
    <row r="39" spans="1:13" s="252" customFormat="1" ht="16.5" customHeight="1" x14ac:dyDescent="0.4">
      <c r="A39" s="18"/>
      <c r="B39" s="18"/>
      <c r="C39" s="18" t="s">
        <v>149</v>
      </c>
      <c r="D39" s="18"/>
      <c r="E39" s="26"/>
      <c r="F39" s="26"/>
      <c r="G39" s="201">
        <v>16504568.189999999</v>
      </c>
      <c r="H39" s="201"/>
      <c r="I39" s="201">
        <v>-9088032.8000000007</v>
      </c>
      <c r="J39" s="201"/>
      <c r="K39" s="201">
        <v>16312307.01</v>
      </c>
      <c r="L39" s="201"/>
      <c r="M39" s="201">
        <v>-8562474.8300000001</v>
      </c>
    </row>
    <row r="40" spans="1:13" s="252" customFormat="1" ht="16.5" customHeight="1" x14ac:dyDescent="0.4">
      <c r="A40" s="18"/>
      <c r="B40" s="18"/>
      <c r="C40" s="18" t="s">
        <v>323</v>
      </c>
      <c r="D40" s="18"/>
      <c r="E40" s="26"/>
      <c r="F40" s="26"/>
      <c r="G40" s="201">
        <v>2366482</v>
      </c>
      <c r="H40" s="201"/>
      <c r="I40" s="201">
        <v>4132472</v>
      </c>
      <c r="J40" s="201"/>
      <c r="K40" s="201">
        <v>3153683</v>
      </c>
      <c r="L40" s="201"/>
      <c r="M40" s="201">
        <v>3620256</v>
      </c>
    </row>
    <row r="41" spans="1:13" ht="16.5" customHeight="1" x14ac:dyDescent="0.4">
      <c r="A41" s="18"/>
      <c r="B41" s="18"/>
      <c r="C41" s="18"/>
      <c r="D41" s="18" t="s">
        <v>272</v>
      </c>
      <c r="E41" s="26"/>
      <c r="F41" s="26"/>
      <c r="G41" s="203">
        <f>SUM(G25:G40)</f>
        <v>1044761613.8000001</v>
      </c>
      <c r="H41" s="202"/>
      <c r="I41" s="203">
        <f>SUM(I25:I40)</f>
        <v>411605017.80999988</v>
      </c>
      <c r="J41" s="202"/>
      <c r="K41" s="203">
        <f>SUM(K25:K40)</f>
        <v>905666476.37</v>
      </c>
      <c r="L41" s="202"/>
      <c r="M41" s="203">
        <f>SUM(M25:M40)</f>
        <v>165880700.50000006</v>
      </c>
    </row>
    <row r="42" spans="1:13" ht="16.5" customHeight="1" x14ac:dyDescent="0.4">
      <c r="A42" s="18"/>
      <c r="B42" s="18"/>
      <c r="C42" s="18"/>
      <c r="D42" s="18" t="s">
        <v>251</v>
      </c>
      <c r="E42" s="26"/>
      <c r="F42" s="26"/>
      <c r="G42" s="202">
        <v>-14117960.34</v>
      </c>
      <c r="H42" s="202"/>
      <c r="I42" s="202">
        <v>-12770790.76</v>
      </c>
      <c r="J42" s="202"/>
      <c r="K42" s="202">
        <v>-14508122.42</v>
      </c>
      <c r="L42" s="202"/>
      <c r="M42" s="202">
        <v>-14614363.6</v>
      </c>
    </row>
    <row r="43" spans="1:13" ht="16.5" customHeight="1" x14ac:dyDescent="0.4">
      <c r="A43" s="18"/>
      <c r="B43" s="18"/>
      <c r="C43" s="18"/>
      <c r="D43" s="18" t="s">
        <v>209</v>
      </c>
      <c r="E43" s="26"/>
      <c r="F43" s="26"/>
      <c r="G43" s="202">
        <v>-42039671.939999998</v>
      </c>
      <c r="H43" s="202"/>
      <c r="I43" s="202">
        <v>-58678895.840000004</v>
      </c>
      <c r="J43" s="202"/>
      <c r="K43" s="202">
        <v>-41766608.25</v>
      </c>
      <c r="L43" s="202"/>
      <c r="M43" s="202">
        <v>-57722579.280000001</v>
      </c>
    </row>
    <row r="44" spans="1:13" ht="16.5" customHeight="1" x14ac:dyDescent="0.4">
      <c r="A44" s="18"/>
      <c r="B44" s="18"/>
      <c r="C44" s="18"/>
      <c r="D44" s="18" t="s">
        <v>203</v>
      </c>
      <c r="E44" s="26"/>
      <c r="F44" s="26"/>
      <c r="G44" s="204">
        <f>SUM(G41:G43)</f>
        <v>988603981.51999998</v>
      </c>
      <c r="H44" s="202"/>
      <c r="I44" s="204">
        <f>SUM(I41:I43)</f>
        <v>340155331.20999992</v>
      </c>
      <c r="J44" s="202"/>
      <c r="K44" s="204">
        <f>SUM(K41:K43)</f>
        <v>849391745.70000005</v>
      </c>
      <c r="L44" s="202"/>
      <c r="M44" s="204">
        <f>SUM(M41:M43)</f>
        <v>93543757.620000064</v>
      </c>
    </row>
    <row r="45" spans="1:13" ht="16.5" customHeight="1" x14ac:dyDescent="0.4">
      <c r="A45" s="18"/>
      <c r="B45" s="18"/>
      <c r="C45" s="18"/>
      <c r="D45" s="18"/>
      <c r="E45" s="26"/>
      <c r="F45" s="26"/>
      <c r="G45" s="205"/>
      <c r="H45" s="205"/>
      <c r="I45" s="205"/>
      <c r="J45" s="205"/>
      <c r="K45" s="205"/>
      <c r="L45" s="205"/>
      <c r="M45" s="205"/>
    </row>
    <row r="46" spans="1:13" ht="16.5" customHeight="1" x14ac:dyDescent="0.4">
      <c r="A46" s="18" t="s">
        <v>292</v>
      </c>
      <c r="B46" s="18"/>
      <c r="C46" s="18"/>
      <c r="D46" s="18"/>
      <c r="E46" s="26"/>
      <c r="F46" s="26"/>
      <c r="G46" s="156"/>
      <c r="H46" s="156"/>
      <c r="I46" s="156"/>
      <c r="J46" s="156"/>
      <c r="K46" s="156"/>
      <c r="L46" s="156"/>
      <c r="M46" s="156"/>
    </row>
    <row r="47" spans="1:13" ht="16.5" customHeight="1" x14ac:dyDescent="0.4">
      <c r="A47" s="18"/>
      <c r="B47" s="18"/>
      <c r="C47" s="18"/>
      <c r="D47" s="18"/>
      <c r="E47" s="26"/>
      <c r="F47" s="26"/>
      <c r="G47" s="156"/>
      <c r="H47" s="156"/>
      <c r="I47" s="156"/>
      <c r="J47" s="156"/>
      <c r="K47" s="156"/>
      <c r="L47" s="156"/>
      <c r="M47" s="156"/>
    </row>
    <row r="48" spans="1:13" ht="16.5" customHeight="1" x14ac:dyDescent="0.4">
      <c r="A48" s="18"/>
      <c r="B48" s="18"/>
      <c r="C48" s="18"/>
      <c r="D48" s="18"/>
      <c r="E48" s="26"/>
      <c r="F48" s="26"/>
      <c r="G48" s="156"/>
      <c r="H48" s="156"/>
      <c r="I48" s="156"/>
      <c r="J48" s="156"/>
      <c r="K48" s="156"/>
      <c r="L48" s="156"/>
      <c r="M48" s="156"/>
    </row>
    <row r="49" spans="1:13" ht="16.5" customHeight="1" x14ac:dyDescent="0.45">
      <c r="A49" s="163"/>
      <c r="G49" s="157"/>
      <c r="H49" s="157"/>
      <c r="I49" s="157"/>
      <c r="J49" s="157"/>
      <c r="L49" s="157"/>
      <c r="M49" s="157"/>
    </row>
    <row r="50" spans="1:13" ht="16.5" customHeight="1" x14ac:dyDescent="0.45">
      <c r="A50" s="163"/>
      <c r="G50" s="157"/>
      <c r="H50" s="157"/>
      <c r="I50" s="157"/>
      <c r="J50" s="157"/>
      <c r="L50" s="157"/>
      <c r="M50" s="157"/>
    </row>
    <row r="51" spans="1:13" ht="16.5" customHeight="1" x14ac:dyDescent="0.4">
      <c r="A51" s="267"/>
      <c r="B51" s="31" t="s">
        <v>146</v>
      </c>
      <c r="C51" s="267"/>
      <c r="D51" s="31"/>
      <c r="E51" s="267"/>
      <c r="F51" s="31" t="s">
        <v>146</v>
      </c>
      <c r="G51" s="180"/>
      <c r="H51" s="180"/>
      <c r="I51" s="180"/>
      <c r="J51" s="180"/>
      <c r="K51" s="180"/>
      <c r="L51" s="180"/>
      <c r="M51" s="180"/>
    </row>
    <row r="52" spans="1:13" ht="16.5" customHeight="1" x14ac:dyDescent="0.4">
      <c r="A52" s="267"/>
      <c r="B52" s="31"/>
      <c r="C52" s="267"/>
      <c r="D52" s="31"/>
      <c r="E52" s="267"/>
      <c r="F52" s="31"/>
      <c r="G52" s="180"/>
      <c r="H52" s="180"/>
      <c r="I52" s="180"/>
      <c r="J52" s="180"/>
      <c r="K52" s="180"/>
      <c r="L52" s="180"/>
      <c r="M52" s="180"/>
    </row>
    <row r="53" spans="1:13" ht="16.5" customHeight="1" x14ac:dyDescent="0.45">
      <c r="A53" s="289"/>
      <c r="B53" s="289"/>
      <c r="C53" s="289"/>
      <c r="D53" s="289"/>
      <c r="E53" s="289"/>
      <c r="F53" s="289"/>
      <c r="G53" s="289"/>
      <c r="H53" s="289"/>
      <c r="I53" s="289"/>
      <c r="J53" s="289"/>
      <c r="K53" s="289"/>
      <c r="L53" s="289"/>
      <c r="M53" s="289"/>
    </row>
    <row r="54" spans="1:13" ht="16.5" customHeight="1" x14ac:dyDescent="0.4">
      <c r="A54" s="23" t="s">
        <v>186</v>
      </c>
      <c r="B54" s="18"/>
      <c r="C54" s="18"/>
      <c r="D54" s="18"/>
      <c r="E54" s="26"/>
      <c r="F54" s="26"/>
      <c r="G54" s="17"/>
      <c r="H54" s="28"/>
      <c r="I54" s="17"/>
      <c r="J54" s="28"/>
      <c r="K54" s="17"/>
      <c r="L54" s="28"/>
      <c r="M54" s="17"/>
    </row>
    <row r="55" spans="1:13" ht="16.5" customHeight="1" x14ac:dyDescent="0.4">
      <c r="A55" s="245"/>
      <c r="C55" s="18" t="s">
        <v>291</v>
      </c>
      <c r="D55" s="18"/>
      <c r="E55" s="26">
        <v>9</v>
      </c>
      <c r="F55" s="26"/>
      <c r="G55" s="201">
        <v>43757025.600000001</v>
      </c>
      <c r="H55" s="201"/>
      <c r="I55" s="201">
        <v>-123999996.08</v>
      </c>
      <c r="J55" s="201"/>
      <c r="K55" s="201">
        <v>43756986.270000003</v>
      </c>
      <c r="L55" s="201"/>
      <c r="M55" s="201">
        <v>-124000000</v>
      </c>
    </row>
    <row r="56" spans="1:13" s="18" customFormat="1" ht="16.5" customHeight="1" x14ac:dyDescent="0.4">
      <c r="C56" s="23" t="s">
        <v>229</v>
      </c>
      <c r="E56" s="178" t="s">
        <v>348</v>
      </c>
      <c r="F56" s="26"/>
      <c r="G56" s="201">
        <v>241977.66</v>
      </c>
      <c r="H56" s="201"/>
      <c r="I56" s="201">
        <v>-255989.03</v>
      </c>
      <c r="J56" s="201"/>
      <c r="K56" s="201">
        <v>241977.66</v>
      </c>
      <c r="L56" s="201"/>
      <c r="M56" s="201">
        <v>-24476.63</v>
      </c>
    </row>
    <row r="57" spans="1:13" s="18" customFormat="1" ht="16.5" customHeight="1" x14ac:dyDescent="0.4">
      <c r="C57" s="11" t="s">
        <v>277</v>
      </c>
      <c r="E57" s="178" t="s">
        <v>349</v>
      </c>
      <c r="F57" s="26"/>
      <c r="G57" s="201">
        <v>1000000</v>
      </c>
      <c r="H57" s="201"/>
      <c r="I57" s="201">
        <v>-590000000</v>
      </c>
      <c r="J57" s="201"/>
      <c r="K57" s="201">
        <v>1000000</v>
      </c>
      <c r="L57" s="201"/>
      <c r="M57" s="201">
        <v>-590000000</v>
      </c>
    </row>
    <row r="58" spans="1:13" s="18" customFormat="1" ht="16.5" customHeight="1" x14ac:dyDescent="0.4">
      <c r="C58" s="11" t="s">
        <v>278</v>
      </c>
      <c r="E58" s="178" t="s">
        <v>233</v>
      </c>
      <c r="F58" s="26"/>
      <c r="G58" s="201">
        <v>0</v>
      </c>
      <c r="H58" s="201"/>
      <c r="I58" s="201">
        <v>0</v>
      </c>
      <c r="J58" s="201"/>
      <c r="K58" s="201">
        <v>-403519235</v>
      </c>
      <c r="L58" s="201"/>
      <c r="M58" s="201">
        <v>-70600000</v>
      </c>
    </row>
    <row r="59" spans="1:13" s="18" customFormat="1" ht="16.5" customHeight="1" x14ac:dyDescent="0.4">
      <c r="C59" s="23" t="s">
        <v>228</v>
      </c>
      <c r="E59" s="178"/>
      <c r="F59" s="26"/>
      <c r="G59" s="201">
        <v>0</v>
      </c>
      <c r="H59" s="201"/>
      <c r="I59" s="201">
        <v>0</v>
      </c>
      <c r="J59" s="201"/>
      <c r="K59" s="201">
        <v>560010720</v>
      </c>
      <c r="L59" s="201"/>
      <c r="M59" s="201">
        <v>445340480</v>
      </c>
    </row>
    <row r="60" spans="1:13" ht="16.5" customHeight="1" x14ac:dyDescent="0.4">
      <c r="A60" s="18"/>
      <c r="C60" s="23" t="s">
        <v>340</v>
      </c>
      <c r="D60" s="18"/>
      <c r="E60" s="267"/>
      <c r="F60" s="26"/>
      <c r="G60" s="201">
        <v>21177679.09</v>
      </c>
      <c r="H60" s="201"/>
      <c r="I60" s="201">
        <v>13802188.710000001</v>
      </c>
      <c r="J60" s="201"/>
      <c r="K60" s="201">
        <v>19460437.34</v>
      </c>
      <c r="L60" s="201"/>
      <c r="M60" s="201">
        <v>13264772.109999999</v>
      </c>
    </row>
    <row r="61" spans="1:13" ht="16.5" customHeight="1" x14ac:dyDescent="0.4">
      <c r="A61" s="18"/>
      <c r="B61" s="18"/>
      <c r="C61" s="18"/>
      <c r="D61" s="23" t="s">
        <v>308</v>
      </c>
      <c r="E61" s="26"/>
      <c r="F61" s="26"/>
      <c r="G61" s="204">
        <f>SUM(G55:G60)</f>
        <v>66176682.349999994</v>
      </c>
      <c r="H61" s="202"/>
      <c r="I61" s="204">
        <f>SUM(I55:I60)</f>
        <v>-700453796.39999998</v>
      </c>
      <c r="J61" s="202"/>
      <c r="K61" s="204">
        <f>SUM(K55:K60)</f>
        <v>220950886.27000001</v>
      </c>
      <c r="L61" s="202"/>
      <c r="M61" s="204">
        <f>SUM(M55:M60)</f>
        <v>-326019224.51999998</v>
      </c>
    </row>
    <row r="62" spans="1:13" ht="16.5" customHeight="1" x14ac:dyDescent="0.4">
      <c r="A62" s="23" t="s">
        <v>198</v>
      </c>
      <c r="B62" s="18"/>
      <c r="C62" s="18"/>
      <c r="D62" s="18"/>
      <c r="E62" s="96"/>
      <c r="F62" s="26"/>
      <c r="G62" s="206"/>
      <c r="H62" s="206"/>
      <c r="I62" s="206"/>
      <c r="J62" s="206"/>
      <c r="K62" s="206"/>
      <c r="L62" s="206"/>
      <c r="M62" s="206"/>
    </row>
    <row r="63" spans="1:13" ht="16.5" customHeight="1" x14ac:dyDescent="0.4">
      <c r="A63" s="249"/>
      <c r="B63" s="18"/>
      <c r="C63" s="18" t="s">
        <v>333</v>
      </c>
      <c r="D63" s="18"/>
      <c r="E63" s="7">
        <v>15</v>
      </c>
      <c r="F63" s="26"/>
      <c r="G63" s="206">
        <v>-150000000</v>
      </c>
      <c r="H63" s="206"/>
      <c r="I63" s="206">
        <v>400000000</v>
      </c>
      <c r="J63" s="206"/>
      <c r="K63" s="206">
        <v>-150000000</v>
      </c>
      <c r="L63" s="206"/>
      <c r="M63" s="206">
        <v>400000000</v>
      </c>
    </row>
    <row r="64" spans="1:13" ht="16.5" customHeight="1" x14ac:dyDescent="0.4">
      <c r="A64" s="249"/>
      <c r="B64" s="18"/>
      <c r="C64" s="18" t="s">
        <v>334</v>
      </c>
      <c r="D64" s="18"/>
      <c r="E64" s="7">
        <v>2.6</v>
      </c>
      <c r="F64" s="26"/>
      <c r="G64" s="206">
        <v>0</v>
      </c>
      <c r="H64" s="206"/>
      <c r="I64" s="206">
        <v>0</v>
      </c>
      <c r="J64" s="206"/>
      <c r="K64" s="206">
        <v>-30000000</v>
      </c>
      <c r="L64" s="206"/>
      <c r="M64" s="206">
        <v>-112388800</v>
      </c>
    </row>
    <row r="65" spans="1:15" ht="16.5" customHeight="1" x14ac:dyDescent="0.4">
      <c r="A65" s="249"/>
      <c r="B65" s="18"/>
      <c r="C65" s="11" t="s">
        <v>314</v>
      </c>
      <c r="D65" s="18"/>
      <c r="E65" s="7">
        <v>20</v>
      </c>
      <c r="F65" s="26"/>
      <c r="G65" s="206">
        <v>504329.25</v>
      </c>
      <c r="H65" s="206"/>
      <c r="I65" s="206">
        <v>0</v>
      </c>
      <c r="J65" s="206"/>
      <c r="K65" s="206">
        <v>504329.25</v>
      </c>
      <c r="L65" s="206"/>
      <c r="M65" s="206">
        <v>0</v>
      </c>
    </row>
    <row r="66" spans="1:15" ht="16.5" customHeight="1" x14ac:dyDescent="0.4">
      <c r="A66" s="18"/>
      <c r="B66" s="18"/>
      <c r="C66" s="11" t="s">
        <v>356</v>
      </c>
      <c r="E66" s="26">
        <v>21</v>
      </c>
      <c r="F66" s="26"/>
      <c r="G66" s="202">
        <v>1017450</v>
      </c>
      <c r="H66" s="202"/>
      <c r="I66" s="202">
        <v>0</v>
      </c>
      <c r="J66" s="202"/>
      <c r="K66" s="202">
        <v>1017450</v>
      </c>
      <c r="L66" s="202"/>
      <c r="M66" s="202">
        <v>0</v>
      </c>
    </row>
    <row r="67" spans="1:15" ht="16.5" customHeight="1" x14ac:dyDescent="0.4">
      <c r="A67" s="18"/>
      <c r="B67" s="18"/>
      <c r="C67" s="22" t="s">
        <v>293</v>
      </c>
      <c r="E67" s="267">
        <v>19</v>
      </c>
      <c r="F67" s="26"/>
      <c r="G67" s="199">
        <v>-338333858.30000001</v>
      </c>
      <c r="H67" s="202"/>
      <c r="I67" s="199">
        <v>-298659915.30000001</v>
      </c>
      <c r="J67" s="202"/>
      <c r="K67" s="199">
        <v>-338333858.30000001</v>
      </c>
      <c r="L67" s="202"/>
      <c r="M67" s="199">
        <v>-281880243.30000001</v>
      </c>
    </row>
    <row r="68" spans="1:15" ht="16.5" customHeight="1" x14ac:dyDescent="0.4">
      <c r="A68" s="18"/>
      <c r="B68" s="18"/>
      <c r="C68" s="18"/>
      <c r="D68" s="23" t="s">
        <v>202</v>
      </c>
      <c r="E68" s="26"/>
      <c r="F68" s="26"/>
      <c r="G68" s="199">
        <f>SUM(G63:G67)</f>
        <v>-486812079.05000001</v>
      </c>
      <c r="H68" s="202"/>
      <c r="I68" s="199">
        <f>SUM(I63:I67)</f>
        <v>101340084.69999999</v>
      </c>
      <c r="J68" s="202"/>
      <c r="K68" s="199">
        <f>SUM(K63:K67)</f>
        <v>-516812079.05000001</v>
      </c>
      <c r="L68" s="202"/>
      <c r="M68" s="199">
        <f>SUM(M63:M67)</f>
        <v>5730956.6999999881</v>
      </c>
    </row>
    <row r="69" spans="1:15" ht="16.5" customHeight="1" x14ac:dyDescent="0.4">
      <c r="A69" s="18" t="s">
        <v>174</v>
      </c>
      <c r="B69" s="18"/>
      <c r="C69" s="18"/>
      <c r="D69" s="18"/>
      <c r="E69" s="26"/>
      <c r="F69" s="26"/>
      <c r="G69" s="199">
        <v>-16308759.43</v>
      </c>
      <c r="H69" s="202"/>
      <c r="I69" s="199">
        <v>-20654545.370000001</v>
      </c>
      <c r="J69" s="202"/>
      <c r="K69" s="199">
        <v>0</v>
      </c>
      <c r="L69" s="202"/>
      <c r="M69" s="199">
        <v>0</v>
      </c>
    </row>
    <row r="70" spans="1:15" ht="16.5" customHeight="1" x14ac:dyDescent="0.4">
      <c r="A70" s="23" t="s">
        <v>187</v>
      </c>
      <c r="B70" s="18"/>
      <c r="C70" s="18"/>
      <c r="D70" s="18"/>
      <c r="E70" s="26"/>
      <c r="F70" s="26"/>
      <c r="G70" s="207">
        <f>+G68+G61+G44+G69</f>
        <v>551659825.38999999</v>
      </c>
      <c r="H70" s="201"/>
      <c r="I70" s="207">
        <f>+I68+I61+I44+I69</f>
        <v>-279612925.86000013</v>
      </c>
      <c r="J70" s="201"/>
      <c r="K70" s="207">
        <f>+K68+K61+K44+K69</f>
        <v>553530552.92000008</v>
      </c>
      <c r="L70" s="201"/>
      <c r="M70" s="207">
        <f>+M68+M61+M44+M69</f>
        <v>-226744510.19999993</v>
      </c>
    </row>
    <row r="71" spans="1:15" ht="16.5" customHeight="1" x14ac:dyDescent="0.4">
      <c r="A71" s="23" t="s">
        <v>309</v>
      </c>
      <c r="B71" s="18"/>
      <c r="C71" s="18"/>
      <c r="D71" s="18"/>
      <c r="E71" s="26"/>
      <c r="F71" s="26"/>
      <c r="G71" s="207">
        <v>170710951.13999999</v>
      </c>
      <c r="H71" s="201"/>
      <c r="I71" s="207">
        <v>450323877</v>
      </c>
      <c r="J71" s="201"/>
      <c r="K71" s="201">
        <v>29506348</v>
      </c>
      <c r="L71" s="201"/>
      <c r="M71" s="201">
        <v>256250858.19999999</v>
      </c>
      <c r="O71" s="14"/>
    </row>
    <row r="72" spans="1:15" ht="16.5" customHeight="1" thickBot="1" x14ac:dyDescent="0.45">
      <c r="A72" s="23" t="s">
        <v>310</v>
      </c>
      <c r="B72" s="18"/>
      <c r="C72" s="18"/>
      <c r="D72" s="18"/>
      <c r="E72" s="26"/>
      <c r="F72" s="26"/>
      <c r="G72" s="208">
        <f>SUM(G70:G71)</f>
        <v>722370776.52999997</v>
      </c>
      <c r="H72" s="201"/>
      <c r="I72" s="208">
        <f>SUM(I70:I71)</f>
        <v>170710951.13999987</v>
      </c>
      <c r="J72" s="201"/>
      <c r="K72" s="208">
        <f>SUM(K70:K71)</f>
        <v>583036900.92000008</v>
      </c>
      <c r="L72" s="201"/>
      <c r="M72" s="208">
        <f>SUM(M70:M71)</f>
        <v>29506348.00000006</v>
      </c>
    </row>
    <row r="73" spans="1:15" ht="16.5" customHeight="1" thickTop="1" x14ac:dyDescent="0.4">
      <c r="E73" s="269"/>
      <c r="F73" s="269"/>
      <c r="G73" s="197"/>
      <c r="H73" s="197"/>
      <c r="I73" s="197"/>
      <c r="J73" s="197"/>
      <c r="K73" s="197"/>
      <c r="L73" s="197"/>
      <c r="M73" s="197"/>
    </row>
    <row r="74" spans="1:15" ht="16.5" customHeight="1" x14ac:dyDescent="0.4">
      <c r="A74" s="23" t="s">
        <v>368</v>
      </c>
      <c r="E74" s="178"/>
      <c r="F74" s="269"/>
      <c r="G74" s="155"/>
      <c r="H74" s="155"/>
      <c r="I74" s="155"/>
      <c r="J74" s="155"/>
      <c r="K74" s="155"/>
      <c r="L74" s="155"/>
      <c r="M74" s="155"/>
    </row>
    <row r="75" spans="1:15" ht="16.5" customHeight="1" x14ac:dyDescent="0.4">
      <c r="B75" s="271" t="s">
        <v>370</v>
      </c>
      <c r="E75" s="178" t="s">
        <v>373</v>
      </c>
      <c r="F75" s="269"/>
      <c r="G75" s="17">
        <v>230000000</v>
      </c>
      <c r="H75" s="17"/>
      <c r="I75" s="17">
        <v>0</v>
      </c>
      <c r="J75" s="17"/>
      <c r="K75" s="17">
        <v>230000000</v>
      </c>
      <c r="L75" s="17"/>
      <c r="M75" s="17">
        <v>0</v>
      </c>
    </row>
    <row r="76" spans="1:15" ht="16.5" customHeight="1" x14ac:dyDescent="0.4">
      <c r="B76" s="272" t="s">
        <v>369</v>
      </c>
      <c r="E76" s="178"/>
      <c r="F76" s="269"/>
      <c r="G76" s="17">
        <v>26243013.73</v>
      </c>
      <c r="H76" s="17"/>
      <c r="I76" s="17">
        <v>0</v>
      </c>
      <c r="J76" s="17"/>
      <c r="K76" s="17">
        <v>26243013.73</v>
      </c>
      <c r="L76" s="17"/>
      <c r="M76" s="17">
        <v>0</v>
      </c>
    </row>
    <row r="77" spans="1:15" ht="16.5" customHeight="1" x14ac:dyDescent="0.4">
      <c r="B77" s="272" t="s">
        <v>371</v>
      </c>
      <c r="E77" s="178" t="s">
        <v>372</v>
      </c>
      <c r="F77" s="269"/>
      <c r="G77" s="17">
        <v>256243013.72999999</v>
      </c>
      <c r="H77" s="17"/>
      <c r="I77" s="17">
        <v>0</v>
      </c>
      <c r="J77" s="17"/>
      <c r="K77" s="17">
        <v>256243013.72999999</v>
      </c>
      <c r="L77" s="17"/>
      <c r="M77" s="17">
        <v>0</v>
      </c>
    </row>
    <row r="78" spans="1:15" ht="16.5" customHeight="1" x14ac:dyDescent="0.4">
      <c r="B78" s="272" t="s">
        <v>379</v>
      </c>
      <c r="E78" s="178" t="s">
        <v>372</v>
      </c>
      <c r="F78" s="269"/>
      <c r="G78" s="155">
        <v>300000000</v>
      </c>
      <c r="H78" s="155"/>
      <c r="I78" s="155">
        <v>0</v>
      </c>
      <c r="J78" s="155"/>
      <c r="K78" s="155">
        <v>300000000</v>
      </c>
      <c r="L78" s="155"/>
      <c r="M78" s="155">
        <v>0</v>
      </c>
    </row>
    <row r="79" spans="1:15" ht="16.5" customHeight="1" x14ac:dyDescent="0.4">
      <c r="B79" s="272" t="s">
        <v>380</v>
      </c>
      <c r="E79" s="178" t="s">
        <v>378</v>
      </c>
      <c r="F79" s="269"/>
      <c r="G79" s="155">
        <v>587222864</v>
      </c>
      <c r="H79" s="155"/>
      <c r="I79" s="155">
        <v>0</v>
      </c>
      <c r="J79" s="155"/>
      <c r="K79" s="155">
        <v>587222864</v>
      </c>
      <c r="L79" s="155"/>
      <c r="M79" s="155">
        <v>0</v>
      </c>
    </row>
    <row r="80" spans="1:15" ht="16.5" customHeight="1" x14ac:dyDescent="0.4">
      <c r="B80" s="272"/>
      <c r="E80" s="178"/>
      <c r="F80" s="269"/>
      <c r="G80" s="155"/>
      <c r="H80" s="155"/>
      <c r="I80" s="155"/>
      <c r="J80" s="155"/>
      <c r="K80" s="155"/>
      <c r="L80" s="155"/>
      <c r="M80" s="155"/>
    </row>
    <row r="81" spans="1:25" ht="16.5" customHeight="1" x14ac:dyDescent="0.4">
      <c r="B81" s="272"/>
      <c r="E81" s="178"/>
      <c r="F81" s="269"/>
      <c r="G81" s="155"/>
      <c r="H81" s="155"/>
      <c r="I81" s="155"/>
      <c r="J81" s="155"/>
      <c r="K81" s="155"/>
      <c r="L81" s="155"/>
      <c r="M81" s="155"/>
    </row>
    <row r="82" spans="1:25" ht="16.5" customHeight="1" x14ac:dyDescent="0.4">
      <c r="B82" s="272"/>
      <c r="E82" s="178"/>
      <c r="F82" s="269"/>
      <c r="G82" s="155"/>
      <c r="H82" s="155"/>
      <c r="I82" s="155"/>
      <c r="J82" s="155"/>
      <c r="K82" s="155"/>
      <c r="L82" s="155"/>
      <c r="M82" s="155"/>
    </row>
    <row r="83" spans="1:25" ht="16.5" customHeight="1" x14ac:dyDescent="0.4">
      <c r="E83" s="178"/>
      <c r="F83" s="269"/>
      <c r="G83" s="155"/>
      <c r="H83" s="155"/>
      <c r="I83" s="155"/>
      <c r="J83" s="155"/>
      <c r="K83" s="155"/>
      <c r="L83" s="155"/>
      <c r="M83" s="155"/>
    </row>
    <row r="84" spans="1:25" ht="16.5" customHeight="1" x14ac:dyDescent="0.4">
      <c r="A84" s="18" t="s">
        <v>292</v>
      </c>
      <c r="E84" s="178"/>
      <c r="F84" s="269"/>
      <c r="G84" s="155"/>
      <c r="H84" s="155"/>
      <c r="I84" s="155"/>
      <c r="J84" s="155"/>
      <c r="K84" s="155"/>
      <c r="L84" s="155"/>
      <c r="M84" s="155"/>
    </row>
    <row r="85" spans="1:25" ht="16.5" customHeight="1" x14ac:dyDescent="0.4">
      <c r="E85" s="267"/>
      <c r="F85" s="269"/>
      <c r="G85" s="155"/>
      <c r="H85" s="155"/>
      <c r="I85" s="155"/>
      <c r="J85" s="155"/>
      <c r="K85" s="155"/>
      <c r="L85" s="155"/>
      <c r="M85" s="155"/>
    </row>
    <row r="86" spans="1:25" ht="16.5" customHeight="1" x14ac:dyDescent="0.4">
      <c r="G86" s="157"/>
      <c r="H86" s="157"/>
      <c r="I86" s="157"/>
      <c r="J86" s="157"/>
      <c r="L86" s="157"/>
      <c r="M86" s="157"/>
    </row>
    <row r="87" spans="1:25" ht="16.5" customHeight="1" x14ac:dyDescent="0.45">
      <c r="A87" s="163"/>
      <c r="G87" s="157"/>
      <c r="H87" s="157"/>
      <c r="I87" s="157"/>
      <c r="J87" s="157"/>
      <c r="L87" s="157"/>
      <c r="M87" s="157"/>
    </row>
    <row r="88" spans="1:25" ht="16.5" customHeight="1" x14ac:dyDescent="0.45">
      <c r="A88" s="163"/>
      <c r="G88" s="157"/>
      <c r="H88" s="157"/>
      <c r="I88" s="157"/>
      <c r="J88" s="157"/>
      <c r="L88" s="157"/>
      <c r="M88" s="157"/>
    </row>
    <row r="89" spans="1:25" ht="16.5" customHeight="1" x14ac:dyDescent="0.4">
      <c r="A89" s="158"/>
      <c r="G89" s="157"/>
      <c r="H89" s="157"/>
      <c r="I89" s="157"/>
      <c r="J89" s="157"/>
      <c r="L89" s="157"/>
      <c r="M89" s="157"/>
    </row>
    <row r="90" spans="1:25" ht="16.5" customHeight="1" x14ac:dyDescent="0.4">
      <c r="A90" s="158"/>
      <c r="B90" s="31" t="s">
        <v>146</v>
      </c>
      <c r="C90" s="267"/>
      <c r="D90" s="31"/>
      <c r="E90" s="267"/>
      <c r="F90" s="31" t="s">
        <v>146</v>
      </c>
      <c r="G90" s="180"/>
      <c r="H90" s="180"/>
      <c r="I90" s="180"/>
      <c r="J90" s="180"/>
      <c r="K90" s="180"/>
      <c r="L90" s="180"/>
      <c r="M90" s="180"/>
    </row>
    <row r="91" spans="1:25" ht="16.5" customHeight="1" x14ac:dyDescent="0.4">
      <c r="A91" s="11"/>
      <c r="G91" s="157"/>
      <c r="H91" s="157"/>
      <c r="I91" s="157"/>
      <c r="J91" s="157"/>
      <c r="L91" s="157"/>
      <c r="M91" s="157"/>
    </row>
    <row r="92" spans="1:25" s="5" customFormat="1" ht="16.5" customHeight="1" x14ac:dyDescent="0.45">
      <c r="A92" s="290"/>
      <c r="B92" s="290"/>
      <c r="C92" s="290"/>
      <c r="D92" s="290"/>
      <c r="E92" s="290"/>
      <c r="F92" s="290"/>
      <c r="G92" s="290"/>
      <c r="H92" s="290"/>
      <c r="I92" s="290"/>
      <c r="J92" s="290"/>
      <c r="K92" s="290"/>
      <c r="L92" s="290"/>
      <c r="M92" s="290"/>
      <c r="N92" s="3"/>
      <c r="O92" s="3"/>
      <c r="P92" s="9"/>
      <c r="Q92" s="3"/>
      <c r="R92" s="3"/>
      <c r="S92" s="3"/>
      <c r="T92" s="3"/>
      <c r="U92" s="3"/>
      <c r="V92" s="3"/>
      <c r="W92" s="3"/>
      <c r="X92" s="3"/>
      <c r="Y92" s="3"/>
    </row>
    <row r="93" spans="1:25" ht="16.5" customHeight="1" x14ac:dyDescent="0.4">
      <c r="E93" s="269"/>
      <c r="F93" s="269"/>
      <c r="G93" s="157"/>
      <c r="H93" s="157"/>
      <c r="I93" s="157"/>
      <c r="J93" s="157"/>
      <c r="L93" s="157"/>
      <c r="M93" s="157"/>
    </row>
    <row r="94" spans="1:25" ht="16.5" hidden="1" customHeight="1" x14ac:dyDescent="0.4">
      <c r="D94" s="13" t="s">
        <v>224</v>
      </c>
      <c r="E94" s="269"/>
      <c r="F94" s="269"/>
      <c r="G94" s="155">
        <v>722370776.52999997</v>
      </c>
      <c r="H94" s="156"/>
      <c r="I94" s="155">
        <v>170710951.13999999</v>
      </c>
      <c r="J94" s="156"/>
      <c r="K94" s="155">
        <v>583036900.91999996</v>
      </c>
      <c r="L94" s="155"/>
      <c r="M94" s="155">
        <v>29506348</v>
      </c>
    </row>
    <row r="95" spans="1:25" ht="16.5" hidden="1" customHeight="1" x14ac:dyDescent="0.4">
      <c r="D95" s="13" t="s">
        <v>225</v>
      </c>
      <c r="E95" s="269"/>
      <c r="F95" s="269"/>
      <c r="G95" s="157">
        <f>+G94-G72</f>
        <v>0</v>
      </c>
      <c r="H95" s="157"/>
      <c r="I95" s="157">
        <f>+I94-I72</f>
        <v>0</v>
      </c>
      <c r="J95" s="157"/>
      <c r="K95" s="157">
        <f>+K94-K72</f>
        <v>0</v>
      </c>
      <c r="L95" s="157"/>
      <c r="M95" s="157">
        <f>+M94-M72</f>
        <v>-5.9604644775390625E-8</v>
      </c>
    </row>
    <row r="96" spans="1:25" ht="16.5" customHeight="1" x14ac:dyDescent="0.4">
      <c r="E96" s="269"/>
      <c r="F96" s="269"/>
      <c r="G96" s="157"/>
      <c r="H96" s="157"/>
      <c r="I96" s="157"/>
      <c r="J96" s="157"/>
      <c r="L96" s="157"/>
      <c r="M96" s="157"/>
    </row>
    <row r="97" spans="5:13" ht="16.5" customHeight="1" x14ac:dyDescent="0.4">
      <c r="E97" s="269"/>
      <c r="F97" s="269"/>
      <c r="G97" s="157"/>
      <c r="H97" s="157"/>
      <c r="I97" s="157"/>
      <c r="J97" s="157"/>
      <c r="L97" s="157"/>
      <c r="M97" s="157"/>
    </row>
    <row r="98" spans="5:13" ht="16.5" customHeight="1" x14ac:dyDescent="0.4">
      <c r="E98" s="269"/>
      <c r="F98" s="269"/>
      <c r="G98" s="157"/>
      <c r="H98" s="157"/>
      <c r="I98" s="157"/>
      <c r="J98" s="157"/>
      <c r="L98" s="157"/>
      <c r="M98" s="157"/>
    </row>
    <row r="99" spans="5:13" ht="16.5" customHeight="1" x14ac:dyDescent="0.4">
      <c r="E99" s="269"/>
      <c r="F99" s="269"/>
      <c r="G99" s="157"/>
      <c r="H99" s="157"/>
      <c r="I99" s="157"/>
      <c r="J99" s="157"/>
      <c r="L99" s="157"/>
      <c r="M99" s="157"/>
    </row>
    <row r="100" spans="5:13" ht="16.5" customHeight="1" x14ac:dyDescent="0.4">
      <c r="E100" s="269"/>
      <c r="F100" s="269"/>
      <c r="G100" s="157"/>
      <c r="H100" s="157"/>
      <c r="I100" s="157"/>
      <c r="J100" s="157"/>
      <c r="L100" s="157"/>
      <c r="M100" s="157"/>
    </row>
    <row r="101" spans="5:13" ht="16.5" customHeight="1" x14ac:dyDescent="0.4">
      <c r="E101" s="269"/>
      <c r="F101" s="269"/>
      <c r="G101" s="157"/>
      <c r="H101" s="157"/>
      <c r="I101" s="157"/>
      <c r="J101" s="157"/>
      <c r="L101" s="157"/>
      <c r="M101" s="157"/>
    </row>
    <row r="102" spans="5:13" ht="16.5" customHeight="1" x14ac:dyDescent="0.4">
      <c r="E102" s="269"/>
      <c r="F102" s="269"/>
    </row>
    <row r="103" spans="5:13" ht="16.5" customHeight="1" x14ac:dyDescent="0.4">
      <c r="E103" s="269"/>
      <c r="F103" s="269"/>
    </row>
    <row r="104" spans="5:13" ht="16.5" customHeight="1" x14ac:dyDescent="0.4">
      <c r="E104" s="269"/>
      <c r="F104" s="269"/>
    </row>
    <row r="105" spans="5:13" ht="16.5" customHeight="1" x14ac:dyDescent="0.4">
      <c r="E105" s="269"/>
      <c r="F105" s="269"/>
    </row>
    <row r="106" spans="5:13" ht="16.5" customHeight="1" x14ac:dyDescent="0.4">
      <c r="E106" s="269"/>
      <c r="F106" s="269"/>
    </row>
    <row r="107" spans="5:13" ht="16.5" customHeight="1" x14ac:dyDescent="0.4">
      <c r="E107" s="269"/>
      <c r="F107" s="269"/>
    </row>
    <row r="108" spans="5:13" ht="16.5" customHeight="1" x14ac:dyDescent="0.4">
      <c r="E108" s="269"/>
      <c r="F108" s="269"/>
    </row>
    <row r="109" spans="5:13" ht="16.5" customHeight="1" x14ac:dyDescent="0.4">
      <c r="E109" s="269"/>
      <c r="F109" s="269"/>
    </row>
    <row r="110" spans="5:13" ht="16.5" customHeight="1" x14ac:dyDescent="0.4">
      <c r="E110" s="269"/>
      <c r="F110" s="269"/>
    </row>
    <row r="111" spans="5:13" ht="16.5" customHeight="1" x14ac:dyDescent="0.4">
      <c r="E111" s="269"/>
      <c r="F111" s="269"/>
    </row>
    <row r="112" spans="5:13" ht="16.5" customHeight="1" x14ac:dyDescent="0.4">
      <c r="E112" s="269"/>
      <c r="F112" s="269"/>
    </row>
    <row r="113" spans="5:6" ht="16.5" customHeight="1" x14ac:dyDescent="0.4">
      <c r="E113" s="269"/>
      <c r="F113" s="269"/>
    </row>
    <row r="114" spans="5:6" ht="16.5" customHeight="1" x14ac:dyDescent="0.4">
      <c r="E114" s="269"/>
      <c r="F114" s="269"/>
    </row>
    <row r="115" spans="5:6" ht="16.5" customHeight="1" x14ac:dyDescent="0.4">
      <c r="E115" s="269"/>
      <c r="F115" s="269"/>
    </row>
    <row r="116" spans="5:6" ht="16.5" customHeight="1" x14ac:dyDescent="0.4">
      <c r="E116" s="269"/>
      <c r="F116" s="269"/>
    </row>
    <row r="117" spans="5:6" ht="16.5" customHeight="1" x14ac:dyDescent="0.4">
      <c r="E117" s="269"/>
      <c r="F117" s="269"/>
    </row>
    <row r="118" spans="5:6" ht="16.5" customHeight="1" x14ac:dyDescent="0.4">
      <c r="E118" s="269"/>
      <c r="F118" s="269"/>
    </row>
    <row r="119" spans="5:6" ht="16.5" customHeight="1" x14ac:dyDescent="0.4">
      <c r="E119" s="269"/>
      <c r="F119" s="269"/>
    </row>
    <row r="120" spans="5:6" ht="16.5" customHeight="1" x14ac:dyDescent="0.4">
      <c r="E120" s="269"/>
      <c r="F120" s="269"/>
    </row>
    <row r="121" spans="5:6" ht="16.5" customHeight="1" x14ac:dyDescent="0.4">
      <c r="E121" s="269"/>
      <c r="F121" s="269"/>
    </row>
  </sheetData>
  <mergeCells count="10">
    <mergeCell ref="A53:M53"/>
    <mergeCell ref="A92:M92"/>
    <mergeCell ref="A3:M3"/>
    <mergeCell ref="G6:M6"/>
    <mergeCell ref="G7:I7"/>
    <mergeCell ref="K7:M7"/>
    <mergeCell ref="A4:M4"/>
    <mergeCell ref="A5:M5"/>
    <mergeCell ref="G8:I8"/>
    <mergeCell ref="K8:M8"/>
  </mergeCells>
  <phoneticPr fontId="0" type="noConversion"/>
  <pageMargins left="0.616141732" right="0" top="0.53" bottom="0.22" header="0.7" footer="0.13"/>
  <pageSetup paperSize="9" scale="92" firstPageNumber="8" orientation="portrait" useFirstPageNumber="1" r:id="rId1"/>
  <headerFooter alignWithMargins="0">
    <oddFooter>&amp;C&amp;P</oddFooter>
  </headerFooter>
  <rowBreaks count="1" manualBreakCount="1">
    <brk id="53" max="12" man="1"/>
  </rowBreaks>
  <ignoredErrors>
    <ignoredError sqref="E61:F61 E18 E58 F60 E56 E75:E79" numberStoredAsText="1"/>
    <ignoredError sqref="H61 L61 J61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1"/>
  <sheetViews>
    <sheetView view="pageBreakPreview" topLeftCell="A22" zoomScaleNormal="100" workbookViewId="0">
      <selection activeCell="C18" sqref="C18"/>
    </sheetView>
  </sheetViews>
  <sheetFormatPr defaultRowHeight="21" x14ac:dyDescent="0.45"/>
  <cols>
    <col min="1" max="1" width="41.140625" style="107" customWidth="1"/>
    <col min="2" max="2" width="13.42578125" style="123" bestFit="1" customWidth="1"/>
    <col min="3" max="3" width="13.85546875" style="102" bestFit="1" customWidth="1"/>
    <col min="4" max="4" width="14.85546875" style="108" bestFit="1" customWidth="1"/>
    <col min="5" max="6" width="12.7109375" style="102" customWidth="1"/>
    <col min="7" max="7" width="14.85546875" style="105" bestFit="1" customWidth="1"/>
    <col min="8" max="8" width="15.28515625" style="106" customWidth="1"/>
    <col min="9" max="10" width="12.7109375" style="105" customWidth="1"/>
    <col min="11" max="11" width="2.28515625" style="107" customWidth="1"/>
    <col min="12" max="13" width="12.7109375" style="107" customWidth="1"/>
    <col min="14" max="16384" width="9.140625" style="107"/>
  </cols>
  <sheetData>
    <row r="1" spans="1:10" x14ac:dyDescent="0.45">
      <c r="A1" s="100" t="s">
        <v>52</v>
      </c>
      <c r="B1" s="101"/>
      <c r="D1" s="103"/>
      <c r="E1" s="104"/>
      <c r="F1" s="104"/>
    </row>
    <row r="2" spans="1:10" ht="21.75" customHeight="1" x14ac:dyDescent="0.45">
      <c r="A2" s="100" t="s">
        <v>89</v>
      </c>
      <c r="B2" s="101"/>
    </row>
    <row r="3" spans="1:10" ht="21.75" customHeight="1" x14ac:dyDescent="0.45">
      <c r="A3" s="109" t="s">
        <v>69</v>
      </c>
      <c r="B3" s="110"/>
      <c r="C3" s="111"/>
      <c r="D3" s="112"/>
      <c r="E3" s="111"/>
      <c r="F3" s="111"/>
      <c r="G3" s="111"/>
      <c r="H3" s="113"/>
      <c r="I3" s="111"/>
      <c r="J3" s="111"/>
    </row>
    <row r="4" spans="1:10" ht="21.75" customHeight="1" x14ac:dyDescent="0.45">
      <c r="A4" s="114"/>
      <c r="B4" s="101"/>
      <c r="H4" s="292" t="s">
        <v>71</v>
      </c>
      <c r="I4" s="292"/>
    </row>
    <row r="5" spans="1:10" s="116" customFormat="1" ht="24" customHeight="1" x14ac:dyDescent="0.45">
      <c r="B5" s="117" t="s">
        <v>63</v>
      </c>
      <c r="C5" s="115" t="s">
        <v>64</v>
      </c>
      <c r="D5" s="110" t="s">
        <v>65</v>
      </c>
      <c r="E5" s="115" t="s">
        <v>67</v>
      </c>
      <c r="F5" s="115" t="s">
        <v>66</v>
      </c>
      <c r="G5" s="115" t="s">
        <v>27</v>
      </c>
      <c r="H5" s="118" t="s">
        <v>72</v>
      </c>
      <c r="I5" s="104" t="s">
        <v>73</v>
      </c>
      <c r="J5" s="111" t="s">
        <v>33</v>
      </c>
    </row>
    <row r="6" spans="1:10" s="116" customFormat="1" ht="24.75" customHeight="1" x14ac:dyDescent="0.45">
      <c r="A6" s="119" t="s">
        <v>90</v>
      </c>
      <c r="B6" s="120"/>
      <c r="C6" s="104"/>
      <c r="D6" s="103"/>
      <c r="E6" s="104"/>
      <c r="F6" s="104"/>
      <c r="G6" s="104"/>
      <c r="H6" s="121"/>
      <c r="I6" s="104"/>
      <c r="J6" s="102"/>
    </row>
    <row r="7" spans="1:10" s="116" customFormat="1" ht="18" customHeight="1" x14ac:dyDescent="0.45">
      <c r="B7" s="120"/>
      <c r="C7" s="104"/>
      <c r="D7" s="103"/>
      <c r="E7" s="122">
        <v>25000</v>
      </c>
      <c r="F7" s="122">
        <v>250000</v>
      </c>
      <c r="G7" s="104"/>
      <c r="H7" s="121"/>
      <c r="I7" s="104"/>
      <c r="J7" s="102"/>
    </row>
    <row r="8" spans="1:10" x14ac:dyDescent="0.45">
      <c r="A8" s="107" t="s">
        <v>98</v>
      </c>
      <c r="B8" s="123">
        <v>4250000</v>
      </c>
      <c r="C8" s="102">
        <v>10000000</v>
      </c>
      <c r="D8" s="108">
        <v>42940000</v>
      </c>
      <c r="E8" s="102">
        <f>+E7*36.48</f>
        <v>911999.99999999988</v>
      </c>
      <c r="F8" s="102">
        <f>+F7*35.32</f>
        <v>8830000</v>
      </c>
      <c r="I8" s="102"/>
    </row>
    <row r="9" spans="1:10" x14ac:dyDescent="0.45">
      <c r="A9" s="107" t="s">
        <v>128</v>
      </c>
      <c r="B9" s="123">
        <v>533031.27</v>
      </c>
      <c r="C9" s="102">
        <v>-11662591.75</v>
      </c>
      <c r="D9" s="108">
        <v>-18618021.34</v>
      </c>
      <c r="E9" s="102">
        <v>0</v>
      </c>
      <c r="F9" s="102">
        <v>0</v>
      </c>
      <c r="I9" s="102"/>
    </row>
    <row r="10" spans="1:10" x14ac:dyDescent="0.45">
      <c r="A10" s="107" t="s">
        <v>91</v>
      </c>
      <c r="B10" s="123">
        <v>99.99</v>
      </c>
      <c r="C10" s="102">
        <v>49.99</v>
      </c>
      <c r="D10" s="108">
        <v>99.99</v>
      </c>
      <c r="E10" s="102">
        <v>100</v>
      </c>
      <c r="F10" s="102">
        <v>51</v>
      </c>
      <c r="I10" s="102"/>
    </row>
    <row r="11" spans="1:10" x14ac:dyDescent="0.45">
      <c r="A11" s="124" t="s">
        <v>92</v>
      </c>
      <c r="B11" s="112">
        <f>+B10*B8/100</f>
        <v>4249575</v>
      </c>
      <c r="C11" s="112">
        <f>+C10*C8/100</f>
        <v>4999000</v>
      </c>
      <c r="D11" s="112">
        <f>+D10*D8/100</f>
        <v>42935706</v>
      </c>
      <c r="E11" s="112">
        <f>+E10*E8/100</f>
        <v>911999.99999999988</v>
      </c>
      <c r="F11" s="112">
        <f>+F10*F8/100</f>
        <v>4503300</v>
      </c>
      <c r="G11" s="111"/>
      <c r="H11" s="125"/>
      <c r="I11" s="102"/>
    </row>
    <row r="12" spans="1:10" x14ac:dyDescent="0.45">
      <c r="A12" s="107" t="s">
        <v>97</v>
      </c>
      <c r="B12" s="126">
        <v>4001000</v>
      </c>
      <c r="C12" s="127">
        <v>1250375</v>
      </c>
      <c r="D12" s="128">
        <f>24321978.66+21431024.34</f>
        <v>45753003</v>
      </c>
      <c r="E12" s="127">
        <v>912000</v>
      </c>
      <c r="F12" s="127">
        <v>4503300</v>
      </c>
      <c r="G12" s="129">
        <f t="shared" ref="G12:G17" si="0">+SUM(B12:F12)</f>
        <v>56419678</v>
      </c>
      <c r="H12" s="130"/>
      <c r="I12" s="102"/>
    </row>
    <row r="13" spans="1:10" x14ac:dyDescent="0.45">
      <c r="A13" s="131" t="s">
        <v>93</v>
      </c>
      <c r="B13" s="132">
        <v>4782963.74</v>
      </c>
      <c r="C13" s="112">
        <v>-1662591.75</v>
      </c>
      <c r="D13" s="112">
        <v>24321978.66</v>
      </c>
      <c r="E13" s="112">
        <v>899000</v>
      </c>
      <c r="F13" s="112">
        <v>4584900</v>
      </c>
      <c r="G13" s="133">
        <f t="shared" si="0"/>
        <v>32926250.649999999</v>
      </c>
      <c r="H13" s="125"/>
      <c r="I13" s="102"/>
    </row>
    <row r="14" spans="1:10" x14ac:dyDescent="0.45">
      <c r="A14" s="134" t="s">
        <v>9</v>
      </c>
      <c r="B14" s="135">
        <f>+B13-B12</f>
        <v>781963.74000000022</v>
      </c>
      <c r="C14" s="135">
        <f>+C13-C12</f>
        <v>-2912966.75</v>
      </c>
      <c r="D14" s="135">
        <f>+D13-D12</f>
        <v>-21431024.34</v>
      </c>
      <c r="E14" s="135">
        <f>+E13-E12</f>
        <v>-13000</v>
      </c>
      <c r="F14" s="135">
        <f>+F13-F12</f>
        <v>81600</v>
      </c>
      <c r="G14" s="133">
        <f t="shared" si="0"/>
        <v>-23493427.350000001</v>
      </c>
      <c r="H14" s="125"/>
      <c r="I14" s="102"/>
    </row>
    <row r="15" spans="1:10" x14ac:dyDescent="0.45">
      <c r="A15" s="136" t="s">
        <v>94</v>
      </c>
      <c r="B15" s="105">
        <v>9963921.2899999991</v>
      </c>
      <c r="C15" s="102">
        <v>-1090678.93</v>
      </c>
      <c r="D15" s="108">
        <v>-1566605.83</v>
      </c>
      <c r="E15" s="102">
        <v>271135.14</v>
      </c>
      <c r="F15" s="102">
        <v>40003.35</v>
      </c>
      <c r="G15" s="105">
        <f t="shared" si="0"/>
        <v>7617775.0199999986</v>
      </c>
      <c r="H15" s="130"/>
      <c r="I15" s="102"/>
    </row>
    <row r="16" spans="1:10" x14ac:dyDescent="0.45">
      <c r="A16" s="107" t="s">
        <v>95</v>
      </c>
      <c r="B16" s="123">
        <f>+B15*B10/100</f>
        <v>9962924.8978709988</v>
      </c>
      <c r="C16" s="123"/>
      <c r="D16" s="123"/>
      <c r="E16" s="123">
        <f>+E15*E10/100</f>
        <v>271135.14</v>
      </c>
      <c r="F16" s="123">
        <f>+F15*F10/100</f>
        <v>20401.708499999997</v>
      </c>
      <c r="G16" s="105">
        <f t="shared" si="0"/>
        <v>10254461.746370999</v>
      </c>
      <c r="H16" s="130"/>
      <c r="I16" s="102"/>
    </row>
    <row r="17" spans="1:10" x14ac:dyDescent="0.45">
      <c r="A17" s="107" t="s">
        <v>96</v>
      </c>
      <c r="C17" s="123">
        <f>+C15*C10/100</f>
        <v>-545230.397107</v>
      </c>
      <c r="D17" s="123">
        <f>+D15*D10/100</f>
        <v>-1566449.1694170001</v>
      </c>
      <c r="E17" s="123"/>
      <c r="F17" s="123"/>
      <c r="G17" s="105">
        <f t="shared" si="0"/>
        <v>-2111679.5665239999</v>
      </c>
      <c r="H17" s="130"/>
      <c r="I17" s="102"/>
    </row>
    <row r="18" spans="1:10" x14ac:dyDescent="0.45">
      <c r="C18" s="123"/>
      <c r="D18" s="123"/>
      <c r="E18" s="123"/>
      <c r="F18" s="123"/>
      <c r="H18" s="130"/>
      <c r="I18" s="102"/>
    </row>
    <row r="19" spans="1:10" x14ac:dyDescent="0.45">
      <c r="A19" s="107" t="s">
        <v>118</v>
      </c>
      <c r="B19" s="123">
        <f>+B15*(100-B10)/100</f>
        <v>996.39212900050961</v>
      </c>
      <c r="C19" s="123">
        <f>+C15*(100-C10)/100</f>
        <v>-545448.53289299994</v>
      </c>
      <c r="D19" s="123">
        <f>+D15*(100-D10)/100</f>
        <v>-156.66058300008015</v>
      </c>
      <c r="E19" s="123">
        <f>+E15*(100-E10)/100</f>
        <v>0</v>
      </c>
      <c r="F19" s="123">
        <f>+F15*(100-F10)/100</f>
        <v>19601.641499999998</v>
      </c>
      <c r="G19" s="137">
        <f>+SUM(B19:F19)</f>
        <v>-525007.15984699945</v>
      </c>
      <c r="H19" s="130"/>
      <c r="I19" s="102"/>
    </row>
    <row r="20" spans="1:10" x14ac:dyDescent="0.45">
      <c r="C20" s="123"/>
      <c r="D20" s="123"/>
      <c r="E20" s="123"/>
      <c r="F20" s="123"/>
      <c r="H20" s="130"/>
      <c r="I20" s="102"/>
    </row>
    <row r="21" spans="1:10" x14ac:dyDescent="0.45">
      <c r="C21" s="123"/>
      <c r="D21" s="123"/>
      <c r="E21" s="123"/>
      <c r="F21" s="123"/>
      <c r="H21" s="130"/>
      <c r="I21" s="102"/>
    </row>
    <row r="22" spans="1:10" x14ac:dyDescent="0.45">
      <c r="A22" s="131" t="s">
        <v>125</v>
      </c>
      <c r="B22" s="123">
        <f>+B15+B8+B9</f>
        <v>14746952.559999999</v>
      </c>
      <c r="C22" s="123">
        <f>+C15+C8+C9</f>
        <v>-2753270.6799999997</v>
      </c>
      <c r="D22" s="123">
        <f>+D15+D8+D9</f>
        <v>22755372.830000002</v>
      </c>
      <c r="E22" s="123">
        <f>+E15+E8+E9</f>
        <v>1183135.1399999999</v>
      </c>
      <c r="F22" s="123">
        <f>+F15+F8+F9</f>
        <v>8870003.3499999996</v>
      </c>
      <c r="H22" s="130"/>
      <c r="I22" s="102"/>
    </row>
    <row r="23" spans="1:10" x14ac:dyDescent="0.45">
      <c r="A23" s="107" t="s">
        <v>126</v>
      </c>
      <c r="B23" s="123">
        <f>+B22*(100-B10)/100</f>
        <v>1474.6952560007544</v>
      </c>
      <c r="C23" s="123">
        <f>+C22*(100-C10)/100</f>
        <v>-1376910.667068</v>
      </c>
      <c r="D23" s="123">
        <f>+D22*(100-D10)/100</f>
        <v>2275.5372830011643</v>
      </c>
      <c r="E23" s="123">
        <f>+E22*(100-E10)/100</f>
        <v>0</v>
      </c>
      <c r="F23" s="123">
        <f>+F22*(100-F10)/100</f>
        <v>4346301.6414999999</v>
      </c>
      <c r="G23" s="137">
        <f>+SUM(B23:F23)</f>
        <v>2973141.2069710018</v>
      </c>
      <c r="H23" s="130"/>
      <c r="I23" s="102"/>
    </row>
    <row r="24" spans="1:10" x14ac:dyDescent="0.45">
      <c r="A24" s="107" t="s">
        <v>127</v>
      </c>
      <c r="C24" s="123"/>
      <c r="D24" s="123"/>
      <c r="E24" s="123"/>
      <c r="F24" s="123">
        <v>-4274821.25</v>
      </c>
      <c r="G24" s="137">
        <f>+SUM(B24:F24)</f>
        <v>-4274821.25</v>
      </c>
      <c r="H24" s="130"/>
      <c r="I24" s="102"/>
    </row>
    <row r="25" spans="1:10" x14ac:dyDescent="0.45">
      <c r="C25" s="123"/>
      <c r="D25" s="123"/>
      <c r="E25" s="123"/>
      <c r="F25" s="123"/>
      <c r="G25" s="137"/>
      <c r="H25" s="130"/>
      <c r="I25" s="102"/>
    </row>
    <row r="26" spans="1:10" x14ac:dyDescent="0.45">
      <c r="C26" s="123"/>
      <c r="D26" s="123"/>
      <c r="E26" s="123"/>
      <c r="F26" s="123"/>
      <c r="G26" s="137"/>
      <c r="H26" s="130"/>
      <c r="I26" s="102"/>
    </row>
    <row r="27" spans="1:10" ht="21.75" thickBot="1" x14ac:dyDescent="0.5">
      <c r="C27" s="123"/>
      <c r="D27" s="123"/>
      <c r="E27" s="123"/>
      <c r="F27" s="123"/>
      <c r="G27" s="138">
        <f>SUM(G23:G26)</f>
        <v>-1301680.0430289982</v>
      </c>
      <c r="H27" s="130"/>
      <c r="I27" s="102"/>
    </row>
    <row r="28" spans="1:10" ht="21.75" thickTop="1" x14ac:dyDescent="0.45">
      <c r="C28" s="108"/>
      <c r="H28" s="130"/>
      <c r="I28" s="102"/>
    </row>
    <row r="29" spans="1:10" s="140" customFormat="1" x14ac:dyDescent="0.45">
      <c r="A29" s="139" t="s">
        <v>34</v>
      </c>
      <c r="B29" s="108"/>
      <c r="C29" s="102"/>
      <c r="D29" s="108"/>
      <c r="E29" s="102"/>
      <c r="F29" s="102"/>
      <c r="G29" s="102">
        <v>-2135652.63</v>
      </c>
      <c r="H29" s="130"/>
      <c r="I29" s="102"/>
      <c r="J29" s="102"/>
    </row>
    <row r="30" spans="1:10" s="140" customFormat="1" x14ac:dyDescent="0.45">
      <c r="A30" s="140" t="s">
        <v>101</v>
      </c>
      <c r="B30" s="108"/>
      <c r="C30" s="102"/>
      <c r="D30" s="108"/>
      <c r="E30" s="102"/>
      <c r="F30" s="102"/>
      <c r="G30" s="102">
        <f>+G29-G27</f>
        <v>-833972.5869710017</v>
      </c>
      <c r="H30" s="130"/>
      <c r="I30" s="102"/>
      <c r="J30" s="102"/>
    </row>
    <row r="31" spans="1:10" s="140" customFormat="1" x14ac:dyDescent="0.45">
      <c r="A31" s="140" t="s">
        <v>106</v>
      </c>
      <c r="B31" s="108"/>
      <c r="C31" s="108">
        <f>23544963.08-13000</f>
        <v>23531963.079999998</v>
      </c>
      <c r="D31" s="108"/>
      <c r="E31" s="108"/>
      <c r="F31" s="108"/>
      <c r="G31" s="108"/>
      <c r="H31" s="141"/>
      <c r="I31" s="108"/>
      <c r="J31" s="108"/>
    </row>
    <row r="32" spans="1:10" s="140" customFormat="1" x14ac:dyDescent="0.45">
      <c r="A32" s="140" t="s">
        <v>107</v>
      </c>
      <c r="B32" s="108"/>
      <c r="C32" s="102"/>
      <c r="D32" s="108">
        <f>+C31</f>
        <v>23531963.079999998</v>
      </c>
      <c r="E32" s="102"/>
      <c r="F32" s="102"/>
      <c r="G32" s="102">
        <v>78400</v>
      </c>
      <c r="H32" s="125"/>
      <c r="I32" s="102"/>
      <c r="J32" s="102"/>
    </row>
    <row r="33" spans="1:10" x14ac:dyDescent="0.45">
      <c r="G33" s="105">
        <v>-615.72</v>
      </c>
      <c r="H33" s="130"/>
      <c r="I33" s="102"/>
    </row>
    <row r="34" spans="1:10" x14ac:dyDescent="0.45">
      <c r="G34" s="105">
        <v>781963.74</v>
      </c>
      <c r="H34" s="130"/>
    </row>
    <row r="35" spans="1:10" x14ac:dyDescent="0.45">
      <c r="A35" s="140" t="s">
        <v>102</v>
      </c>
      <c r="G35" s="105">
        <f>SUM(G32:G34)</f>
        <v>859748.02</v>
      </c>
      <c r="H35" s="130"/>
      <c r="I35" s="102"/>
    </row>
    <row r="36" spans="1:10" x14ac:dyDescent="0.45">
      <c r="A36" s="140" t="s">
        <v>104</v>
      </c>
      <c r="C36" s="102">
        <v>22681399.34</v>
      </c>
      <c r="H36" s="130"/>
      <c r="I36" s="102"/>
    </row>
    <row r="37" spans="1:10" x14ac:dyDescent="0.45">
      <c r="A37" s="140" t="s">
        <v>105</v>
      </c>
      <c r="D37" s="108">
        <f>+C36</f>
        <v>22681399.34</v>
      </c>
      <c r="H37" s="130"/>
      <c r="I37" s="102"/>
    </row>
    <row r="38" spans="1:10" x14ac:dyDescent="0.45">
      <c r="A38" s="140"/>
      <c r="H38" s="130"/>
      <c r="I38" s="102"/>
    </row>
    <row r="39" spans="1:10" x14ac:dyDescent="0.45">
      <c r="A39" s="140" t="s">
        <v>120</v>
      </c>
      <c r="H39" s="130"/>
      <c r="I39" s="102"/>
    </row>
    <row r="40" spans="1:10" x14ac:dyDescent="0.45">
      <c r="A40" s="140" t="s">
        <v>121</v>
      </c>
      <c r="C40" s="102">
        <v>1662591.75</v>
      </c>
      <c r="H40" s="130"/>
      <c r="I40" s="102"/>
    </row>
    <row r="41" spans="1:10" s="140" customFormat="1" x14ac:dyDescent="0.45">
      <c r="A41" s="140" t="s">
        <v>122</v>
      </c>
      <c r="B41" s="108"/>
      <c r="C41" s="102"/>
      <c r="D41" s="108">
        <f>+++++++C40</f>
        <v>1662591.75</v>
      </c>
      <c r="E41" s="102"/>
      <c r="F41" s="102"/>
      <c r="G41" s="102"/>
      <c r="H41" s="130"/>
      <c r="I41" s="102"/>
      <c r="J41" s="102"/>
    </row>
    <row r="42" spans="1:10" s="140" customFormat="1" x14ac:dyDescent="0.45">
      <c r="B42" s="108"/>
      <c r="C42" s="102"/>
      <c r="D42" s="108"/>
      <c r="E42" s="102"/>
      <c r="F42" s="102"/>
      <c r="G42" s="102"/>
      <c r="H42" s="130"/>
      <c r="I42" s="102"/>
      <c r="J42" s="102"/>
    </row>
    <row r="43" spans="1:10" s="140" customFormat="1" x14ac:dyDescent="0.45">
      <c r="B43" s="108"/>
      <c r="C43" s="102"/>
      <c r="D43" s="108"/>
      <c r="E43" s="102"/>
      <c r="F43" s="102"/>
      <c r="G43" s="102"/>
      <c r="H43" s="130"/>
      <c r="I43" s="102"/>
      <c r="J43" s="102"/>
    </row>
    <row r="44" spans="1:10" s="140" customFormat="1" x14ac:dyDescent="0.45">
      <c r="A44" s="139" t="s">
        <v>33</v>
      </c>
      <c r="B44" s="108"/>
      <c r="C44" s="102"/>
      <c r="D44" s="108"/>
      <c r="E44" s="102"/>
      <c r="F44" s="102"/>
      <c r="G44" s="102"/>
      <c r="H44" s="130"/>
      <c r="I44" s="102"/>
      <c r="J44" s="102"/>
    </row>
    <row r="45" spans="1:10" s="140" customFormat="1" x14ac:dyDescent="0.45">
      <c r="A45" s="140" t="s">
        <v>103</v>
      </c>
      <c r="B45" s="108"/>
      <c r="C45" s="102">
        <f>+G16+G17</f>
        <v>8142782.1798469992</v>
      </c>
      <c r="D45" s="108"/>
      <c r="E45" s="102"/>
      <c r="F45" s="102"/>
      <c r="G45" s="102"/>
      <c r="H45" s="130"/>
      <c r="I45" s="102"/>
      <c r="J45" s="102"/>
    </row>
    <row r="46" spans="1:10" s="140" customFormat="1" x14ac:dyDescent="0.45">
      <c r="A46" s="140" t="s">
        <v>100</v>
      </c>
      <c r="B46" s="108"/>
      <c r="C46" s="102"/>
      <c r="D46" s="108"/>
      <c r="E46" s="102"/>
      <c r="F46" s="102"/>
      <c r="G46" s="102"/>
      <c r="H46" s="130"/>
      <c r="I46" s="102"/>
      <c r="J46" s="102"/>
    </row>
    <row r="47" spans="1:10" s="140" customFormat="1" x14ac:dyDescent="0.45">
      <c r="A47" s="140" t="s">
        <v>99</v>
      </c>
      <c r="B47" s="108"/>
      <c r="C47" s="102"/>
      <c r="D47" s="108"/>
      <c r="E47" s="102"/>
      <c r="F47" s="102"/>
      <c r="G47" s="102"/>
      <c r="H47" s="125"/>
      <c r="I47" s="102"/>
      <c r="J47" s="102"/>
    </row>
    <row r="48" spans="1:10" s="140" customFormat="1" x14ac:dyDescent="0.45">
      <c r="B48" s="108"/>
      <c r="C48" s="102"/>
      <c r="D48" s="108"/>
      <c r="E48" s="102"/>
      <c r="F48" s="102"/>
      <c r="G48" s="102"/>
      <c r="H48" s="130"/>
      <c r="I48" s="102"/>
      <c r="J48" s="102"/>
    </row>
    <row r="49" spans="1:10" s="140" customFormat="1" x14ac:dyDescent="0.45">
      <c r="B49" s="108"/>
      <c r="C49" s="102"/>
      <c r="D49" s="108"/>
      <c r="E49" s="102"/>
      <c r="F49" s="102"/>
      <c r="G49" s="102"/>
      <c r="H49" s="130"/>
      <c r="I49" s="102"/>
      <c r="J49" s="102"/>
    </row>
    <row r="50" spans="1:10" s="140" customFormat="1" x14ac:dyDescent="0.45">
      <c r="B50" s="108"/>
      <c r="C50" s="102"/>
      <c r="D50" s="108"/>
      <c r="E50" s="102"/>
      <c r="F50" s="102"/>
      <c r="G50" s="102"/>
      <c r="H50" s="130"/>
      <c r="I50" s="102"/>
      <c r="J50" s="102"/>
    </row>
    <row r="51" spans="1:10" s="140" customFormat="1" x14ac:dyDescent="0.45">
      <c r="B51" s="108"/>
      <c r="C51" s="108"/>
      <c r="D51" s="108"/>
      <c r="E51" s="108"/>
      <c r="F51" s="108"/>
      <c r="G51" s="108"/>
      <c r="H51" s="130"/>
      <c r="I51" s="108"/>
      <c r="J51" s="108"/>
    </row>
    <row r="52" spans="1:10" s="140" customFormat="1" x14ac:dyDescent="0.45">
      <c r="B52" s="108"/>
      <c r="C52" s="102"/>
      <c r="D52" s="108"/>
      <c r="E52" s="102"/>
      <c r="F52" s="102"/>
      <c r="G52" s="102"/>
      <c r="H52" s="130"/>
      <c r="I52" s="102"/>
      <c r="J52" s="102"/>
    </row>
    <row r="53" spans="1:10" s="140" customFormat="1" x14ac:dyDescent="0.45">
      <c r="B53" s="102"/>
      <c r="C53" s="102"/>
      <c r="D53" s="108"/>
      <c r="E53" s="102"/>
      <c r="F53" s="102"/>
      <c r="G53" s="102"/>
      <c r="H53" s="130"/>
      <c r="I53" s="102"/>
      <c r="J53" s="102"/>
    </row>
    <row r="54" spans="1:10" s="140" customFormat="1" x14ac:dyDescent="0.45">
      <c r="B54" s="108"/>
      <c r="C54" s="102"/>
      <c r="D54" s="108"/>
      <c r="E54" s="102"/>
      <c r="F54" s="102"/>
      <c r="G54" s="102"/>
      <c r="H54" s="130"/>
      <c r="I54" s="102"/>
      <c r="J54" s="102"/>
    </row>
    <row r="55" spans="1:10" s="140" customFormat="1" x14ac:dyDescent="0.45">
      <c r="B55" s="108"/>
      <c r="C55" s="108"/>
      <c r="D55" s="108"/>
      <c r="E55" s="108"/>
      <c r="F55" s="108"/>
      <c r="G55" s="108"/>
      <c r="H55" s="130"/>
      <c r="I55" s="102"/>
      <c r="J55" s="108"/>
    </row>
    <row r="56" spans="1:10" s="140" customFormat="1" x14ac:dyDescent="0.45">
      <c r="B56" s="108"/>
      <c r="C56" s="108"/>
      <c r="D56" s="108"/>
      <c r="E56" s="108"/>
      <c r="F56" s="108"/>
      <c r="G56" s="108"/>
      <c r="H56" s="130"/>
      <c r="I56" s="102"/>
      <c r="J56" s="108"/>
    </row>
    <row r="57" spans="1:10" s="140" customFormat="1" x14ac:dyDescent="0.45">
      <c r="B57" s="108"/>
      <c r="C57" s="102"/>
      <c r="D57" s="108"/>
      <c r="E57" s="102"/>
      <c r="F57" s="102"/>
      <c r="G57" s="102"/>
      <c r="H57" s="130"/>
      <c r="I57" s="102"/>
      <c r="J57" s="102"/>
    </row>
    <row r="58" spans="1:10" s="140" customFormat="1" x14ac:dyDescent="0.45">
      <c r="A58" s="142"/>
      <c r="B58" s="108"/>
      <c r="C58" s="102"/>
      <c r="D58" s="108"/>
      <c r="E58" s="102"/>
      <c r="F58" s="102"/>
      <c r="G58" s="102"/>
      <c r="H58" s="125"/>
      <c r="I58" s="102"/>
      <c r="J58" s="102"/>
    </row>
    <row r="59" spans="1:10" s="140" customFormat="1" x14ac:dyDescent="0.45">
      <c r="A59" s="143"/>
      <c r="B59" s="108"/>
      <c r="C59" s="102"/>
      <c r="D59" s="108"/>
      <c r="E59" s="102"/>
      <c r="F59" s="102"/>
      <c r="G59" s="102"/>
      <c r="H59" s="130"/>
      <c r="I59" s="102"/>
      <c r="J59" s="102"/>
    </row>
    <row r="60" spans="1:10" s="140" customFormat="1" x14ac:dyDescent="0.45">
      <c r="A60" s="143"/>
      <c r="B60" s="108"/>
      <c r="C60" s="102"/>
      <c r="D60" s="108"/>
      <c r="E60" s="102"/>
      <c r="F60" s="102"/>
      <c r="G60" s="102"/>
      <c r="H60" s="130"/>
      <c r="I60" s="102"/>
      <c r="J60" s="102"/>
    </row>
    <row r="61" spans="1:10" s="140" customFormat="1" x14ac:dyDescent="0.45">
      <c r="A61" s="143"/>
      <c r="B61" s="108"/>
      <c r="C61" s="102"/>
      <c r="D61" s="108"/>
      <c r="E61" s="102"/>
      <c r="F61" s="102"/>
      <c r="G61" s="102"/>
      <c r="H61" s="130"/>
      <c r="I61" s="102"/>
      <c r="J61" s="102"/>
    </row>
    <row r="62" spans="1:10" s="140" customFormat="1" x14ac:dyDescent="0.45">
      <c r="B62" s="108"/>
      <c r="C62" s="102"/>
      <c r="D62" s="108"/>
      <c r="E62" s="102"/>
      <c r="F62" s="102"/>
      <c r="G62" s="102"/>
      <c r="H62" s="130"/>
      <c r="I62" s="102"/>
      <c r="J62" s="102"/>
    </row>
    <row r="63" spans="1:10" s="140" customFormat="1" x14ac:dyDescent="0.45">
      <c r="B63" s="144"/>
      <c r="C63" s="102"/>
      <c r="D63" s="108"/>
      <c r="E63" s="102"/>
      <c r="F63" s="102"/>
      <c r="G63" s="102"/>
      <c r="H63" s="130"/>
      <c r="I63" s="102"/>
      <c r="J63" s="102"/>
    </row>
    <row r="64" spans="1:10" s="140" customFormat="1" x14ac:dyDescent="0.45">
      <c r="B64" s="108"/>
      <c r="C64" s="102"/>
      <c r="D64" s="108"/>
      <c r="E64" s="102"/>
      <c r="F64" s="102"/>
      <c r="G64" s="102"/>
      <c r="H64" s="130"/>
      <c r="I64" s="102"/>
      <c r="J64" s="102"/>
    </row>
    <row r="65" spans="1:10" s="140" customFormat="1" x14ac:dyDescent="0.45">
      <c r="B65" s="108"/>
      <c r="C65" s="108"/>
      <c r="D65" s="108"/>
      <c r="E65" s="108"/>
      <c r="F65" s="108"/>
      <c r="G65" s="108"/>
      <c r="H65" s="130"/>
      <c r="I65" s="102"/>
      <c r="J65" s="108"/>
    </row>
    <row r="66" spans="1:10" s="140" customFormat="1" x14ac:dyDescent="0.45">
      <c r="B66" s="108"/>
      <c r="C66" s="108"/>
      <c r="D66" s="108"/>
      <c r="E66" s="108"/>
      <c r="F66" s="108"/>
      <c r="G66" s="108"/>
      <c r="H66" s="130"/>
      <c r="I66" s="102"/>
      <c r="J66" s="102"/>
    </row>
    <row r="67" spans="1:10" s="140" customFormat="1" x14ac:dyDescent="0.45">
      <c r="B67" s="108"/>
      <c r="C67" s="108"/>
      <c r="D67" s="108"/>
      <c r="E67" s="108"/>
      <c r="F67" s="108"/>
      <c r="G67" s="108"/>
      <c r="H67" s="130"/>
      <c r="I67" s="102"/>
      <c r="J67" s="108"/>
    </row>
    <row r="68" spans="1:10" s="140" customFormat="1" x14ac:dyDescent="0.45">
      <c r="B68" s="108"/>
      <c r="C68" s="108"/>
      <c r="D68" s="108"/>
      <c r="E68" s="108"/>
      <c r="F68" s="108"/>
      <c r="G68" s="108"/>
      <c r="H68" s="130"/>
      <c r="I68" s="102"/>
      <c r="J68" s="108"/>
    </row>
    <row r="69" spans="1:10" s="140" customFormat="1" x14ac:dyDescent="0.45">
      <c r="B69" s="108"/>
      <c r="C69" s="102"/>
      <c r="D69" s="108"/>
      <c r="E69" s="102"/>
      <c r="F69" s="102"/>
      <c r="G69" s="102"/>
      <c r="H69" s="130"/>
      <c r="I69" s="102"/>
      <c r="J69" s="102"/>
    </row>
    <row r="70" spans="1:10" s="140" customFormat="1" x14ac:dyDescent="0.45">
      <c r="B70" s="145"/>
      <c r="C70" s="145"/>
      <c r="D70" s="145"/>
      <c r="E70" s="145"/>
      <c r="F70" s="145"/>
      <c r="G70" s="145"/>
      <c r="H70" s="146"/>
      <c r="I70" s="147"/>
      <c r="J70" s="145"/>
    </row>
    <row r="71" spans="1:10" s="140" customFormat="1" x14ac:dyDescent="0.45">
      <c r="A71" s="148"/>
      <c r="B71" s="148"/>
      <c r="C71" s="102"/>
      <c r="D71" s="108"/>
      <c r="E71" s="102"/>
      <c r="F71" s="102"/>
      <c r="G71" s="102"/>
      <c r="H71" s="130"/>
      <c r="I71" s="102"/>
      <c r="J71" s="102"/>
    </row>
    <row r="72" spans="1:10" s="140" customFormat="1" x14ac:dyDescent="0.45">
      <c r="A72" s="149"/>
      <c r="B72" s="149"/>
      <c r="C72" s="102"/>
      <c r="D72" s="108"/>
      <c r="E72" s="102"/>
      <c r="F72" s="102"/>
      <c r="G72" s="102"/>
      <c r="H72" s="130"/>
      <c r="I72" s="102"/>
      <c r="J72" s="102"/>
    </row>
    <row r="73" spans="1:10" s="140" customFormat="1" x14ac:dyDescent="0.45">
      <c r="A73" s="149"/>
      <c r="B73" s="149"/>
      <c r="C73" s="102"/>
      <c r="D73" s="108"/>
      <c r="E73" s="102"/>
      <c r="F73" s="102"/>
      <c r="G73" s="102"/>
      <c r="H73" s="130"/>
      <c r="I73" s="102"/>
      <c r="J73" s="102"/>
    </row>
    <row r="74" spans="1:10" s="140" customFormat="1" ht="18" customHeight="1" x14ac:dyDescent="0.45">
      <c r="A74" s="149"/>
      <c r="B74" s="149"/>
      <c r="C74" s="102"/>
      <c r="D74" s="108"/>
      <c r="E74" s="102"/>
      <c r="F74" s="102"/>
      <c r="G74" s="102"/>
      <c r="H74" s="130"/>
      <c r="I74" s="102"/>
      <c r="J74" s="102"/>
    </row>
    <row r="75" spans="1:10" s="140" customFormat="1" x14ac:dyDescent="0.45">
      <c r="B75" s="108"/>
      <c r="C75" s="102"/>
      <c r="D75" s="108"/>
      <c r="E75" s="102"/>
      <c r="F75" s="102"/>
      <c r="G75" s="102"/>
      <c r="H75" s="130"/>
      <c r="I75" s="102"/>
      <c r="J75" s="102"/>
    </row>
    <row r="76" spans="1:10" s="140" customFormat="1" x14ac:dyDescent="0.45">
      <c r="B76" s="108"/>
      <c r="C76" s="102"/>
      <c r="D76" s="108"/>
      <c r="E76" s="108"/>
      <c r="F76" s="108"/>
      <c r="G76" s="102"/>
      <c r="H76" s="125"/>
      <c r="I76" s="102"/>
      <c r="J76" s="102"/>
    </row>
    <row r="77" spans="1:10" s="140" customFormat="1" x14ac:dyDescent="0.45">
      <c r="B77" s="108"/>
      <c r="C77" s="102"/>
      <c r="D77" s="108"/>
      <c r="E77" s="108"/>
      <c r="F77" s="108"/>
      <c r="G77" s="102"/>
      <c r="H77" s="130"/>
      <c r="I77" s="102"/>
      <c r="J77" s="102"/>
    </row>
    <row r="78" spans="1:10" s="140" customFormat="1" x14ac:dyDescent="0.45">
      <c r="B78" s="108"/>
      <c r="C78" s="102"/>
      <c r="D78" s="108"/>
      <c r="E78" s="108"/>
      <c r="F78" s="108"/>
      <c r="G78" s="102"/>
      <c r="H78" s="130"/>
      <c r="I78" s="102"/>
      <c r="J78" s="102"/>
    </row>
    <row r="79" spans="1:10" s="140" customFormat="1" x14ac:dyDescent="0.45">
      <c r="B79" s="108"/>
      <c r="C79" s="102"/>
      <c r="D79" s="108"/>
      <c r="E79" s="108"/>
      <c r="F79" s="108"/>
      <c r="G79" s="102"/>
      <c r="H79" s="125"/>
      <c r="I79" s="102"/>
      <c r="J79" s="102"/>
    </row>
    <row r="80" spans="1:10" s="140" customFormat="1" x14ac:dyDescent="0.45">
      <c r="B80" s="108"/>
      <c r="C80" s="102"/>
      <c r="D80" s="108"/>
      <c r="E80" s="108"/>
      <c r="F80" s="108"/>
      <c r="G80" s="102"/>
      <c r="H80" s="130"/>
      <c r="I80" s="102"/>
      <c r="J80" s="102"/>
    </row>
    <row r="81" spans="2:10" s="140" customFormat="1" x14ac:dyDescent="0.45">
      <c r="B81" s="108"/>
      <c r="C81" s="108"/>
      <c r="D81" s="108"/>
      <c r="E81" s="108"/>
      <c r="F81" s="108"/>
      <c r="G81" s="108"/>
      <c r="H81" s="130"/>
      <c r="I81" s="102"/>
      <c r="J81" s="102"/>
    </row>
    <row r="82" spans="2:10" s="140" customFormat="1" x14ac:dyDescent="0.45">
      <c r="B82" s="108"/>
      <c r="C82" s="102"/>
      <c r="D82" s="108"/>
      <c r="E82" s="108"/>
      <c r="F82" s="108"/>
      <c r="G82" s="108"/>
      <c r="H82" s="130"/>
      <c r="I82" s="102"/>
      <c r="J82" s="102"/>
    </row>
    <row r="83" spans="2:10" s="140" customFormat="1" x14ac:dyDescent="0.45">
      <c r="B83" s="108"/>
      <c r="C83" s="108"/>
      <c r="D83" s="108"/>
      <c r="E83" s="108"/>
      <c r="F83" s="108"/>
      <c r="G83" s="102"/>
      <c r="H83" s="130"/>
      <c r="I83" s="102"/>
      <c r="J83" s="102"/>
    </row>
    <row r="84" spans="2:10" s="140" customFormat="1" x14ac:dyDescent="0.45">
      <c r="B84" s="108"/>
      <c r="C84" s="108"/>
      <c r="D84" s="108"/>
      <c r="E84" s="108"/>
      <c r="F84" s="108"/>
      <c r="G84" s="102"/>
      <c r="H84" s="125"/>
      <c r="I84" s="102"/>
      <c r="J84" s="102"/>
    </row>
    <row r="85" spans="2:10" s="140" customFormat="1" x14ac:dyDescent="0.45">
      <c r="B85" s="108"/>
      <c r="C85" s="108"/>
      <c r="D85" s="108"/>
      <c r="E85" s="108"/>
      <c r="F85" s="108"/>
      <c r="G85" s="102"/>
      <c r="H85" s="130"/>
      <c r="I85" s="102"/>
      <c r="J85" s="102"/>
    </row>
    <row r="86" spans="2:10" s="140" customFormat="1" x14ac:dyDescent="0.45">
      <c r="B86" s="108"/>
      <c r="C86" s="108"/>
      <c r="D86" s="108"/>
      <c r="E86" s="108"/>
      <c r="F86" s="108"/>
      <c r="G86" s="102"/>
      <c r="H86" s="130"/>
      <c r="I86" s="102"/>
      <c r="J86" s="102"/>
    </row>
    <row r="87" spans="2:10" s="140" customFormat="1" x14ac:dyDescent="0.45">
      <c r="B87" s="108"/>
      <c r="C87" s="108"/>
      <c r="D87" s="108"/>
      <c r="E87" s="108"/>
      <c r="F87" s="108"/>
      <c r="G87" s="108"/>
      <c r="H87" s="130"/>
      <c r="I87" s="102"/>
      <c r="J87" s="102"/>
    </row>
    <row r="88" spans="2:10" s="140" customFormat="1" x14ac:dyDescent="0.45">
      <c r="B88" s="108"/>
      <c r="C88" s="108"/>
      <c r="D88" s="108"/>
      <c r="E88" s="108"/>
      <c r="F88" s="108"/>
      <c r="G88" s="108"/>
      <c r="H88" s="130"/>
      <c r="I88" s="102"/>
      <c r="J88" s="102"/>
    </row>
    <row r="89" spans="2:10" s="140" customFormat="1" x14ac:dyDescent="0.45">
      <c r="B89" s="108"/>
      <c r="C89" s="108"/>
      <c r="D89" s="108"/>
      <c r="E89" s="108"/>
      <c r="F89" s="108"/>
      <c r="G89" s="108"/>
      <c r="H89" s="130"/>
      <c r="I89" s="102"/>
      <c r="J89" s="102"/>
    </row>
    <row r="90" spans="2:10" s="140" customFormat="1" x14ac:dyDescent="0.45">
      <c r="B90" s="108"/>
      <c r="C90" s="108"/>
      <c r="D90" s="108"/>
      <c r="E90" s="108"/>
      <c r="F90" s="108"/>
      <c r="G90" s="102"/>
      <c r="H90" s="130"/>
      <c r="I90" s="102"/>
      <c r="J90" s="102"/>
    </row>
    <row r="91" spans="2:10" s="140" customFormat="1" x14ac:dyDescent="0.45">
      <c r="B91" s="144"/>
      <c r="C91" s="144"/>
      <c r="D91" s="144"/>
      <c r="E91" s="144"/>
      <c r="F91" s="144"/>
      <c r="G91" s="102"/>
      <c r="H91" s="130"/>
      <c r="I91" s="102"/>
      <c r="J91" s="102"/>
    </row>
    <row r="92" spans="2:10" s="140" customFormat="1" x14ac:dyDescent="0.45">
      <c r="B92" s="148"/>
      <c r="C92" s="148"/>
      <c r="D92" s="148"/>
      <c r="E92" s="148"/>
      <c r="F92" s="148"/>
      <c r="G92" s="148"/>
      <c r="H92" s="130"/>
      <c r="I92" s="102"/>
      <c r="J92" s="102"/>
    </row>
    <row r="93" spans="2:10" s="140" customFormat="1" x14ac:dyDescent="0.45">
      <c r="B93" s="144"/>
      <c r="C93" s="144"/>
      <c r="D93" s="144"/>
      <c r="E93" s="144"/>
      <c r="F93" s="144"/>
      <c r="G93" s="144"/>
      <c r="H93" s="130"/>
      <c r="I93" s="102"/>
      <c r="J93" s="102"/>
    </row>
    <row r="94" spans="2:10" s="140" customFormat="1" x14ac:dyDescent="0.45">
      <c r="B94" s="108"/>
      <c r="C94" s="108"/>
      <c r="D94" s="108"/>
      <c r="E94" s="108"/>
      <c r="F94" s="108"/>
      <c r="G94" s="108"/>
      <c r="H94" s="130"/>
      <c r="I94" s="102"/>
      <c r="J94" s="102"/>
    </row>
    <row r="95" spans="2:10" s="140" customFormat="1" ht="9.9499999999999993" customHeight="1" x14ac:dyDescent="0.45">
      <c r="B95" s="108"/>
      <c r="C95" s="108"/>
      <c r="D95" s="108"/>
      <c r="E95" s="108"/>
      <c r="F95" s="108"/>
      <c r="G95" s="108"/>
      <c r="H95" s="130"/>
      <c r="I95" s="102"/>
      <c r="J95" s="102"/>
    </row>
    <row r="96" spans="2:10" s="140" customFormat="1" x14ac:dyDescent="0.45">
      <c r="B96" s="108"/>
      <c r="C96" s="102"/>
      <c r="D96" s="108"/>
      <c r="E96" s="102"/>
      <c r="F96" s="102"/>
      <c r="G96" s="102"/>
      <c r="H96" s="130"/>
      <c r="I96" s="102"/>
      <c r="J96" s="102"/>
    </row>
    <row r="97" spans="2:10" s="140" customFormat="1" x14ac:dyDescent="0.45">
      <c r="B97" s="108"/>
      <c r="C97" s="102"/>
      <c r="D97" s="108"/>
      <c r="E97" s="102"/>
      <c r="F97" s="102"/>
      <c r="G97" s="102"/>
      <c r="H97" s="130"/>
      <c r="I97" s="102"/>
      <c r="J97" s="102"/>
    </row>
    <row r="98" spans="2:10" s="140" customFormat="1" x14ac:dyDescent="0.45">
      <c r="B98" s="108"/>
      <c r="C98" s="102"/>
      <c r="D98" s="108"/>
      <c r="E98" s="102"/>
      <c r="F98" s="102"/>
      <c r="G98" s="102"/>
      <c r="H98" s="130"/>
      <c r="I98" s="102"/>
      <c r="J98" s="102"/>
    </row>
    <row r="99" spans="2:10" s="140" customFormat="1" x14ac:dyDescent="0.45">
      <c r="B99" s="108"/>
      <c r="C99" s="102"/>
      <c r="D99" s="108"/>
      <c r="E99" s="102"/>
      <c r="F99" s="102"/>
      <c r="G99" s="102"/>
      <c r="H99" s="130"/>
      <c r="I99" s="102"/>
      <c r="J99" s="102"/>
    </row>
    <row r="100" spans="2:10" s="140" customFormat="1" x14ac:dyDescent="0.45">
      <c r="B100" s="108"/>
      <c r="C100" s="102"/>
      <c r="D100" s="108"/>
      <c r="E100" s="102"/>
      <c r="F100" s="102"/>
      <c r="G100" s="102"/>
      <c r="H100" s="130"/>
      <c r="I100" s="102"/>
      <c r="J100" s="102"/>
    </row>
    <row r="101" spans="2:10" s="140" customFormat="1" x14ac:dyDescent="0.45">
      <c r="B101" s="108"/>
      <c r="C101" s="102"/>
      <c r="D101" s="108"/>
      <c r="E101" s="102"/>
      <c r="F101" s="102"/>
      <c r="G101" s="102"/>
      <c r="H101" s="130"/>
      <c r="I101" s="102"/>
      <c r="J101" s="102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RowHeight="18" x14ac:dyDescent="0.4"/>
  <cols>
    <col min="1" max="2" width="2.7109375" style="5" customWidth="1"/>
    <col min="3" max="3" width="36.7109375" style="5" customWidth="1"/>
    <col min="4" max="5" width="12.7109375" style="6" customWidth="1"/>
    <col min="6" max="6" width="12.7109375" style="1" customWidth="1"/>
    <col min="7" max="7" width="12.7109375" style="2" customWidth="1"/>
    <col min="8" max="9" width="12.7109375" style="1" customWidth="1"/>
    <col min="10" max="10" width="12.7109375" style="61" customWidth="1"/>
    <col min="11" max="11" width="15.28515625" style="67" customWidth="1"/>
    <col min="12" max="13" width="12.7109375" style="61" customWidth="1"/>
    <col min="14" max="14" width="2.28515625" style="5" customWidth="1"/>
    <col min="15" max="16" width="12.7109375" style="5" customWidth="1"/>
    <col min="17" max="16384" width="9.140625" style="5"/>
  </cols>
  <sheetData>
    <row r="1" spans="1:15" x14ac:dyDescent="0.4">
      <c r="A1" s="58" t="s">
        <v>52</v>
      </c>
      <c r="B1" s="33"/>
      <c r="C1" s="33"/>
      <c r="D1" s="33"/>
      <c r="E1" s="33"/>
      <c r="G1" s="55"/>
      <c r="H1" s="56"/>
      <c r="I1" s="56"/>
    </row>
    <row r="2" spans="1:15" ht="21.75" customHeight="1" x14ac:dyDescent="0.4">
      <c r="A2" s="58" t="s">
        <v>70</v>
      </c>
      <c r="B2" s="33"/>
      <c r="C2" s="33"/>
      <c r="D2" s="33"/>
      <c r="E2" s="33"/>
    </row>
    <row r="3" spans="1:15" ht="21.75" customHeight="1" x14ac:dyDescent="0.4">
      <c r="A3" s="53" t="s">
        <v>69</v>
      </c>
      <c r="B3" s="33"/>
      <c r="C3" s="33"/>
      <c r="D3" s="33"/>
      <c r="E3" s="33"/>
      <c r="K3" s="276" t="s">
        <v>71</v>
      </c>
      <c r="L3" s="276"/>
    </row>
    <row r="4" spans="1:15" s="47" customFormat="1" ht="18" customHeight="1" x14ac:dyDescent="0.4">
      <c r="D4" s="59" t="s">
        <v>62</v>
      </c>
      <c r="E4" s="59" t="s">
        <v>63</v>
      </c>
      <c r="F4" s="62" t="s">
        <v>64</v>
      </c>
      <c r="G4" s="63" t="s">
        <v>65</v>
      </c>
      <c r="H4" s="62" t="s">
        <v>66</v>
      </c>
      <c r="I4" s="62" t="s">
        <v>67</v>
      </c>
      <c r="J4" s="62" t="s">
        <v>27</v>
      </c>
      <c r="K4" s="68" t="s">
        <v>72</v>
      </c>
      <c r="L4" s="64" t="s">
        <v>73</v>
      </c>
      <c r="M4" s="60" t="s">
        <v>33</v>
      </c>
    </row>
    <row r="5" spans="1:15" x14ac:dyDescent="0.4">
      <c r="A5" s="11" t="s">
        <v>8</v>
      </c>
      <c r="B5" s="11"/>
      <c r="C5" s="11"/>
      <c r="D5" s="14"/>
      <c r="E5" s="14"/>
      <c r="L5" s="1"/>
    </row>
    <row r="6" spans="1:15" x14ac:dyDescent="0.4">
      <c r="A6" s="11"/>
      <c r="B6" s="11" t="s">
        <v>17</v>
      </c>
      <c r="C6" s="11"/>
      <c r="D6" s="6">
        <v>316767129.02999997</v>
      </c>
      <c r="E6" s="14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61">
        <f>+I6+H6+G6+F6+E6+D6</f>
        <v>341190247.58999997</v>
      </c>
      <c r="L6" s="1"/>
      <c r="M6" s="61">
        <f>+L6+J6</f>
        <v>341190247.58999997</v>
      </c>
    </row>
    <row r="7" spans="1:15" x14ac:dyDescent="0.4">
      <c r="A7" s="11"/>
      <c r="B7" s="11" t="s">
        <v>53</v>
      </c>
      <c r="C7" s="11"/>
      <c r="D7" s="6">
        <v>40216527.100000001</v>
      </c>
      <c r="E7" s="14"/>
      <c r="J7" s="61">
        <f t="shared" ref="J7:J18" si="0">+I7+H7+G7+F7+E7+D7</f>
        <v>40216527.100000001</v>
      </c>
      <c r="L7" s="1"/>
      <c r="M7" s="61">
        <f t="shared" ref="M7:M78" si="1">+L7+J7</f>
        <v>40216527.100000001</v>
      </c>
    </row>
    <row r="8" spans="1:15" x14ac:dyDescent="0.4">
      <c r="A8" s="11"/>
      <c r="B8" s="11" t="s">
        <v>74</v>
      </c>
      <c r="C8" s="11"/>
      <c r="D8" s="14">
        <v>6241052.1100000003</v>
      </c>
      <c r="E8" s="14"/>
      <c r="H8" s="1">
        <v>0</v>
      </c>
      <c r="J8" s="61">
        <f t="shared" si="0"/>
        <v>6241052.1100000003</v>
      </c>
      <c r="K8" s="71" t="s">
        <v>84</v>
      </c>
      <c r="L8" s="1">
        <v>-4636052.1100000003</v>
      </c>
      <c r="M8" s="61">
        <f t="shared" si="1"/>
        <v>1605000</v>
      </c>
    </row>
    <row r="9" spans="1:15" x14ac:dyDescent="0.4">
      <c r="A9" s="11"/>
      <c r="B9" s="11" t="s">
        <v>75</v>
      </c>
      <c r="C9" s="11"/>
      <c r="D9" s="14">
        <v>5331982.99</v>
      </c>
      <c r="E9" s="14"/>
      <c r="H9" s="1">
        <v>0</v>
      </c>
      <c r="J9" s="61">
        <f t="shared" si="0"/>
        <v>5331982.99</v>
      </c>
      <c r="K9" s="66"/>
      <c r="L9" s="1"/>
      <c r="M9" s="61">
        <f t="shared" si="1"/>
        <v>5331982.99</v>
      </c>
    </row>
    <row r="10" spans="1:15" x14ac:dyDescent="0.4">
      <c r="A10" s="11"/>
      <c r="B10" s="11" t="s">
        <v>113</v>
      </c>
      <c r="C10" s="11"/>
      <c r="D10" s="14"/>
      <c r="E10" s="14"/>
      <c r="H10" s="82">
        <f>4274821.25+348965</f>
        <v>4623786.25</v>
      </c>
      <c r="J10" s="61">
        <f t="shared" si="0"/>
        <v>4623786.25</v>
      </c>
      <c r="K10" s="66" t="s">
        <v>130</v>
      </c>
      <c r="L10" s="1">
        <v>-4274821.25</v>
      </c>
      <c r="M10" s="61">
        <f t="shared" si="1"/>
        <v>348965</v>
      </c>
    </row>
    <row r="11" spans="1:15" x14ac:dyDescent="0.4">
      <c r="A11" s="11"/>
      <c r="B11" s="11" t="s">
        <v>76</v>
      </c>
      <c r="C11" s="11"/>
      <c r="D11" s="14">
        <v>90000</v>
      </c>
      <c r="E11" s="14"/>
      <c r="H11" s="1">
        <v>0</v>
      </c>
      <c r="J11" s="61">
        <f t="shared" si="0"/>
        <v>90000</v>
      </c>
      <c r="K11" s="71" t="s">
        <v>85</v>
      </c>
      <c r="L11" s="1">
        <v>-90000</v>
      </c>
      <c r="M11" s="61">
        <f t="shared" si="1"/>
        <v>0</v>
      </c>
    </row>
    <row r="12" spans="1:15" x14ac:dyDescent="0.4">
      <c r="A12" s="11"/>
      <c r="B12" s="11" t="s">
        <v>77</v>
      </c>
      <c r="C12" s="11"/>
      <c r="D12" s="14">
        <v>150000</v>
      </c>
      <c r="E12" s="61"/>
      <c r="H12" s="1">
        <v>0</v>
      </c>
      <c r="J12" s="61">
        <f t="shared" si="0"/>
        <v>150000</v>
      </c>
      <c r="K12" s="66"/>
      <c r="L12" s="1"/>
      <c r="M12" s="61">
        <f t="shared" si="1"/>
        <v>150000</v>
      </c>
    </row>
    <row r="13" spans="1:15" x14ac:dyDescent="0.4">
      <c r="A13" s="11"/>
      <c r="B13" s="11" t="s">
        <v>32</v>
      </c>
      <c r="C13" s="11"/>
      <c r="D13" s="14">
        <v>0</v>
      </c>
      <c r="E13" s="14"/>
      <c r="F13" s="2"/>
      <c r="H13" s="1">
        <v>0</v>
      </c>
      <c r="J13" s="61">
        <f t="shared" si="0"/>
        <v>0</v>
      </c>
      <c r="K13" s="66"/>
      <c r="L13" s="1"/>
      <c r="M13" s="61">
        <f t="shared" si="1"/>
        <v>0</v>
      </c>
    </row>
    <row r="14" spans="1:15" x14ac:dyDescent="0.4">
      <c r="A14" s="11"/>
      <c r="B14" s="11" t="s">
        <v>44</v>
      </c>
      <c r="C14" s="11"/>
      <c r="D14" s="14"/>
      <c r="E14" s="14"/>
      <c r="F14" s="2"/>
      <c r="H14" s="1">
        <v>0</v>
      </c>
      <c r="J14" s="61">
        <f t="shared" si="0"/>
        <v>0</v>
      </c>
      <c r="K14" s="66"/>
      <c r="L14" s="1"/>
      <c r="M14" s="61">
        <f t="shared" si="1"/>
        <v>0</v>
      </c>
    </row>
    <row r="15" spans="1:15" x14ac:dyDescent="0.4">
      <c r="A15" s="11"/>
      <c r="B15" s="11"/>
      <c r="C15" s="11" t="s">
        <v>1</v>
      </c>
      <c r="D15" s="14">
        <v>1345040.03</v>
      </c>
      <c r="E15" s="14">
        <v>25395.599999999999</v>
      </c>
      <c r="F15" s="2"/>
      <c r="H15" s="1">
        <v>63528.73</v>
      </c>
      <c r="J15" s="61">
        <f t="shared" si="0"/>
        <v>1433964.36</v>
      </c>
      <c r="K15" s="66"/>
      <c r="L15" s="1"/>
      <c r="M15" s="61">
        <f t="shared" si="1"/>
        <v>1433964.36</v>
      </c>
      <c r="O15" s="4">
        <f>1433964.36-M15</f>
        <v>0</v>
      </c>
    </row>
    <row r="16" spans="1:15" x14ac:dyDescent="0.4">
      <c r="A16" s="11"/>
      <c r="B16" s="11"/>
      <c r="C16" s="11" t="s">
        <v>28</v>
      </c>
      <c r="D16" s="14">
        <v>485562.25</v>
      </c>
      <c r="E16" s="14">
        <f>114906.28-92587.07</f>
        <v>22319.209999999992</v>
      </c>
      <c r="F16" s="2">
        <v>6340.21</v>
      </c>
      <c r="G16" s="2">
        <v>11953.42</v>
      </c>
      <c r="H16" s="1">
        <v>0</v>
      </c>
      <c r="J16" s="61">
        <f t="shared" si="0"/>
        <v>526175.09</v>
      </c>
      <c r="K16" s="66"/>
      <c r="L16" s="1"/>
      <c r="M16" s="61">
        <f t="shared" si="1"/>
        <v>526175.09</v>
      </c>
    </row>
    <row r="17" spans="1:15" x14ac:dyDescent="0.4">
      <c r="A17" s="11"/>
      <c r="B17" s="11"/>
      <c r="C17" s="11" t="s">
        <v>10</v>
      </c>
      <c r="D17" s="14"/>
      <c r="E17" s="14">
        <v>15664.65</v>
      </c>
      <c r="F17" s="2">
        <v>47620.07</v>
      </c>
      <c r="G17" s="2">
        <v>1929.28</v>
      </c>
      <c r="H17" s="1">
        <v>0</v>
      </c>
      <c r="J17" s="61">
        <f t="shared" si="0"/>
        <v>65214</v>
      </c>
      <c r="K17" s="66"/>
      <c r="L17" s="1"/>
      <c r="M17" s="61">
        <f t="shared" si="1"/>
        <v>65214</v>
      </c>
    </row>
    <row r="18" spans="1:15" x14ac:dyDescent="0.4">
      <c r="A18" s="11"/>
      <c r="B18" s="11"/>
      <c r="C18" s="11" t="s">
        <v>43</v>
      </c>
      <c r="D18" s="14">
        <f>529964.28-D16</f>
        <v>44402.030000000028</v>
      </c>
      <c r="E18" s="14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61">
        <f t="shared" si="0"/>
        <v>168983.59000000005</v>
      </c>
      <c r="K18" s="66"/>
      <c r="L18" s="90">
        <v>615.72</v>
      </c>
      <c r="M18" s="61">
        <f t="shared" si="1"/>
        <v>169599.31000000006</v>
      </c>
      <c r="O18" s="4">
        <f>+M18+M17+M16-760988.4</f>
        <v>0</v>
      </c>
    </row>
    <row r="19" spans="1:15" x14ac:dyDescent="0.4">
      <c r="A19" s="11"/>
      <c r="B19" s="11"/>
      <c r="C19" s="11" t="s">
        <v>18</v>
      </c>
      <c r="D19" s="19">
        <f t="shared" ref="D19:J19" si="2">SUM(D6:D18)</f>
        <v>370671695.53999996</v>
      </c>
      <c r="E19" s="19">
        <f t="shared" si="2"/>
        <v>19281423.650000002</v>
      </c>
      <c r="F19" s="19">
        <f t="shared" si="2"/>
        <v>109686.79999999999</v>
      </c>
      <c r="G19" s="19">
        <f t="shared" si="2"/>
        <v>72381.78</v>
      </c>
      <c r="H19" s="19">
        <f t="shared" si="2"/>
        <v>8758347.5</v>
      </c>
      <c r="I19" s="19">
        <f t="shared" si="2"/>
        <v>1144397.81</v>
      </c>
      <c r="J19" s="19">
        <f t="shared" si="2"/>
        <v>400037933.07999998</v>
      </c>
      <c r="K19" s="69"/>
      <c r="L19" s="21"/>
      <c r="M19" s="19">
        <f>SUM(M6:M18)</f>
        <v>391037675.44</v>
      </c>
    </row>
    <row r="20" spans="1:15" x14ac:dyDescent="0.4">
      <c r="A20" s="11" t="s">
        <v>45</v>
      </c>
      <c r="B20" s="11"/>
      <c r="C20" s="11"/>
      <c r="D20" s="14"/>
      <c r="E20" s="14"/>
      <c r="J20" s="1"/>
      <c r="K20" s="71"/>
      <c r="L20" s="1"/>
    </row>
    <row r="21" spans="1:15" x14ac:dyDescent="0.4">
      <c r="A21" s="11"/>
      <c r="B21" s="11" t="s">
        <v>54</v>
      </c>
      <c r="C21" s="11"/>
      <c r="D21" s="57">
        <v>56419678</v>
      </c>
      <c r="E21" s="14"/>
      <c r="H21" s="1">
        <v>0</v>
      </c>
      <c r="J21" s="61">
        <f t="shared" ref="J21:J27" si="3">+I21+H21+G21+F21+E21+D21</f>
        <v>56419678</v>
      </c>
      <c r="K21" s="71" t="s">
        <v>87</v>
      </c>
      <c r="L21" s="1">
        <v>-56419678</v>
      </c>
      <c r="M21" s="61">
        <f>+J21+L21</f>
        <v>0</v>
      </c>
    </row>
    <row r="22" spans="1:15" x14ac:dyDescent="0.4">
      <c r="A22" s="11"/>
      <c r="B22" s="11" t="s">
        <v>112</v>
      </c>
      <c r="C22" s="11"/>
      <c r="D22" s="57">
        <v>-22681399.34</v>
      </c>
      <c r="E22" s="14"/>
      <c r="J22" s="61">
        <f t="shared" si="3"/>
        <v>-22681399.34</v>
      </c>
      <c r="K22" s="71" t="s">
        <v>109</v>
      </c>
      <c r="L22" s="1">
        <v>22681399.34</v>
      </c>
      <c r="M22" s="61">
        <f>+J22+L22</f>
        <v>0</v>
      </c>
    </row>
    <row r="23" spans="1:15" x14ac:dyDescent="0.4">
      <c r="A23" s="11"/>
      <c r="B23" s="11" t="s">
        <v>55</v>
      </c>
      <c r="C23" s="11"/>
      <c r="D23" s="14">
        <v>5315259</v>
      </c>
      <c r="E23" s="14"/>
      <c r="G23" s="2">
        <v>24900100</v>
      </c>
      <c r="H23" s="1">
        <v>0</v>
      </c>
      <c r="J23" s="61">
        <f t="shared" si="3"/>
        <v>30215359</v>
      </c>
      <c r="K23" s="66"/>
      <c r="L23" s="1"/>
      <c r="M23" s="61">
        <f t="shared" si="1"/>
        <v>30215359</v>
      </c>
    </row>
    <row r="24" spans="1:15" x14ac:dyDescent="0.4">
      <c r="A24" s="11"/>
      <c r="B24" s="11" t="s">
        <v>81</v>
      </c>
      <c r="C24" s="11"/>
      <c r="D24" s="6">
        <v>4125330.22</v>
      </c>
      <c r="E24" s="14">
        <v>4036.43</v>
      </c>
      <c r="F24" s="1">
        <v>137242.54</v>
      </c>
      <c r="H24" s="1">
        <v>0</v>
      </c>
      <c r="J24" s="61">
        <f t="shared" si="3"/>
        <v>4266609.1900000004</v>
      </c>
      <c r="K24" s="66"/>
      <c r="M24" s="61">
        <f>+J24+L24</f>
        <v>4266609.1900000004</v>
      </c>
    </row>
    <row r="25" spans="1:15" x14ac:dyDescent="0.4">
      <c r="A25" s="11"/>
      <c r="B25" s="11" t="s">
        <v>46</v>
      </c>
      <c r="C25" s="11"/>
      <c r="D25" s="14"/>
      <c r="E25" s="14"/>
      <c r="H25" s="1">
        <v>0</v>
      </c>
      <c r="J25" s="61">
        <f t="shared" si="3"/>
        <v>0</v>
      </c>
      <c r="K25" s="66"/>
      <c r="L25" s="1"/>
      <c r="M25" s="61">
        <f t="shared" si="1"/>
        <v>0</v>
      </c>
    </row>
    <row r="26" spans="1:15" x14ac:dyDescent="0.4">
      <c r="A26" s="11"/>
      <c r="B26" s="11"/>
      <c r="C26" s="11" t="s">
        <v>31</v>
      </c>
      <c r="D26" s="14">
        <f>1301692.81+0.01</f>
        <v>1301692.82</v>
      </c>
      <c r="E26" s="14">
        <v>452453.91</v>
      </c>
      <c r="F26" s="2">
        <v>39.15</v>
      </c>
      <c r="G26" s="2">
        <v>61.14</v>
      </c>
      <c r="H26" s="1">
        <v>0</v>
      </c>
      <c r="J26" s="61">
        <f t="shared" si="3"/>
        <v>1754247.02</v>
      </c>
      <c r="K26" s="66"/>
      <c r="L26" s="1"/>
      <c r="M26" s="61">
        <f t="shared" si="1"/>
        <v>1754247.02</v>
      </c>
      <c r="O26" s="4">
        <f>1754247.02-M26</f>
        <v>0</v>
      </c>
    </row>
    <row r="27" spans="1:15" x14ac:dyDescent="0.4">
      <c r="A27" s="11"/>
      <c r="B27" s="11"/>
      <c r="C27" s="11" t="s">
        <v>80</v>
      </c>
      <c r="D27" s="6">
        <v>1494433.31</v>
      </c>
      <c r="E27" s="14">
        <v>0</v>
      </c>
      <c r="H27" s="1">
        <v>0</v>
      </c>
      <c r="J27" s="61">
        <f t="shared" si="3"/>
        <v>1494433.31</v>
      </c>
      <c r="K27" s="66"/>
      <c r="L27" s="1"/>
      <c r="M27" s="61">
        <f t="shared" si="1"/>
        <v>1494433.31</v>
      </c>
    </row>
    <row r="28" spans="1:15" x14ac:dyDescent="0.4">
      <c r="A28" s="11"/>
      <c r="B28" s="11"/>
      <c r="C28" s="11" t="s">
        <v>19</v>
      </c>
      <c r="D28" s="19">
        <f t="shared" ref="D28:J28" si="4">SUM(D21:D27)</f>
        <v>45974994.009999998</v>
      </c>
      <c r="E28" s="19">
        <f t="shared" si="4"/>
        <v>456490.33999999997</v>
      </c>
      <c r="F28" s="19">
        <f t="shared" si="4"/>
        <v>137281.69</v>
      </c>
      <c r="G28" s="19">
        <f t="shared" si="4"/>
        <v>24900161.140000001</v>
      </c>
      <c r="H28" s="19">
        <f t="shared" si="4"/>
        <v>0</v>
      </c>
      <c r="I28" s="19">
        <f t="shared" si="4"/>
        <v>0</v>
      </c>
      <c r="J28" s="19">
        <f t="shared" si="4"/>
        <v>71468927.179999992</v>
      </c>
      <c r="K28" s="66"/>
      <c r="L28" s="1"/>
      <c r="M28" s="19">
        <f>SUM(M21:M27)</f>
        <v>37730648.520000003</v>
      </c>
    </row>
    <row r="29" spans="1:15" ht="18.75" thickBot="1" x14ac:dyDescent="0.45">
      <c r="A29" s="11" t="s">
        <v>47</v>
      </c>
      <c r="B29" s="11"/>
      <c r="C29" s="11"/>
      <c r="D29" s="24">
        <f t="shared" ref="D29:J29" si="5">+D28+D19</f>
        <v>416646689.54999995</v>
      </c>
      <c r="E29" s="24">
        <f t="shared" si="5"/>
        <v>19737913.990000002</v>
      </c>
      <c r="F29" s="24">
        <f t="shared" si="5"/>
        <v>246968.49</v>
      </c>
      <c r="G29" s="24">
        <f t="shared" si="5"/>
        <v>24972542.920000002</v>
      </c>
      <c r="H29" s="24">
        <f t="shared" si="5"/>
        <v>8758347.5</v>
      </c>
      <c r="I29" s="24">
        <f t="shared" si="5"/>
        <v>1144397.81</v>
      </c>
      <c r="J29" s="24">
        <f t="shared" si="5"/>
        <v>471506860.25999999</v>
      </c>
      <c r="K29" s="66"/>
      <c r="L29" s="1"/>
      <c r="M29" s="24">
        <f>+M28+M19</f>
        <v>428768323.95999998</v>
      </c>
    </row>
    <row r="30" spans="1:15" ht="18.75" thickTop="1" x14ac:dyDescent="0.4">
      <c r="A30" s="11" t="s">
        <v>48</v>
      </c>
      <c r="B30" s="11"/>
      <c r="C30" s="11"/>
      <c r="D30" s="14"/>
      <c r="E30" s="14"/>
      <c r="J30" s="1"/>
      <c r="K30" s="66"/>
      <c r="L30" s="1"/>
    </row>
    <row r="31" spans="1:15" x14ac:dyDescent="0.4">
      <c r="A31" s="11"/>
      <c r="B31" s="11" t="s">
        <v>78</v>
      </c>
      <c r="C31" s="11"/>
      <c r="D31" s="14"/>
      <c r="E31" s="14"/>
      <c r="J31" s="61">
        <f t="shared" ref="J31:J39" si="6">+I31+H31+G31+F31+E31+D31</f>
        <v>0</v>
      </c>
      <c r="K31" s="66"/>
      <c r="L31" s="1"/>
      <c r="M31" s="61">
        <f t="shared" si="1"/>
        <v>0</v>
      </c>
    </row>
    <row r="32" spans="1:15" x14ac:dyDescent="0.4">
      <c r="A32" s="11"/>
      <c r="B32" s="11" t="s">
        <v>82</v>
      </c>
      <c r="C32" s="11"/>
      <c r="D32" s="14"/>
      <c r="E32" s="81">
        <v>-85088.98</v>
      </c>
      <c r="F32" s="82">
        <v>-2456075.3199999998</v>
      </c>
      <c r="G32" s="83">
        <v>-2094887.81</v>
      </c>
      <c r="J32" s="61">
        <f t="shared" si="6"/>
        <v>-4636052.1100000003</v>
      </c>
      <c r="K32" s="66"/>
      <c r="L32" s="1">
        <v>4636052.1100000003</v>
      </c>
      <c r="M32" s="61">
        <f t="shared" si="1"/>
        <v>0</v>
      </c>
    </row>
    <row r="33" spans="1:15" x14ac:dyDescent="0.4">
      <c r="A33" s="11"/>
      <c r="B33" s="11" t="s">
        <v>83</v>
      </c>
      <c r="C33" s="11"/>
      <c r="D33" s="14"/>
      <c r="E33" s="14"/>
      <c r="J33" s="61">
        <f t="shared" si="6"/>
        <v>0</v>
      </c>
      <c r="K33" s="66"/>
      <c r="L33" s="1"/>
      <c r="M33" s="61">
        <f t="shared" si="1"/>
        <v>0</v>
      </c>
    </row>
    <row r="34" spans="1:15" x14ac:dyDescent="0.4">
      <c r="A34" s="11"/>
      <c r="B34" s="11" t="s">
        <v>49</v>
      </c>
      <c r="C34" s="11"/>
      <c r="D34" s="14"/>
      <c r="E34" s="14"/>
      <c r="J34" s="61">
        <f t="shared" si="6"/>
        <v>0</v>
      </c>
      <c r="K34" s="66"/>
      <c r="L34" s="1"/>
      <c r="M34" s="61">
        <f t="shared" si="1"/>
        <v>0</v>
      </c>
    </row>
    <row r="35" spans="1:15" x14ac:dyDescent="0.4">
      <c r="A35" s="11"/>
      <c r="B35" s="11"/>
      <c r="C35" s="11" t="s">
        <v>88</v>
      </c>
      <c r="D35" s="14">
        <v>-7229144</v>
      </c>
      <c r="E35" s="14"/>
      <c r="J35" s="61">
        <f t="shared" si="6"/>
        <v>-7229144</v>
      </c>
      <c r="K35" s="66"/>
      <c r="L35" s="1"/>
      <c r="M35" s="61">
        <f t="shared" si="1"/>
        <v>-7229144</v>
      </c>
    </row>
    <row r="36" spans="1:15" x14ac:dyDescent="0.4">
      <c r="A36" s="11"/>
      <c r="B36" s="11"/>
      <c r="C36" s="11" t="s">
        <v>11</v>
      </c>
      <c r="D36" s="14">
        <v>-2880868.96</v>
      </c>
      <c r="E36" s="14">
        <f>-371365.7-1002625+92587.07-27500</f>
        <v>-1308903.6299999999</v>
      </c>
      <c r="F36" s="1">
        <f>-401885-27500</f>
        <v>-429385</v>
      </c>
      <c r="G36" s="2">
        <v>-27500</v>
      </c>
      <c r="J36" s="61">
        <f>+I36+H36+G36+F36+E36+D36</f>
        <v>-4646657.59</v>
      </c>
      <c r="K36" s="71" t="s">
        <v>85</v>
      </c>
      <c r="L36" s="1">
        <v>90000</v>
      </c>
      <c r="M36" s="61">
        <f t="shared" si="1"/>
        <v>-4556657.59</v>
      </c>
    </row>
    <row r="37" spans="1:15" x14ac:dyDescent="0.4">
      <c r="A37" s="11"/>
      <c r="B37" s="11"/>
      <c r="C37" s="11" t="s">
        <v>26</v>
      </c>
      <c r="D37" s="14"/>
      <c r="E37" s="14">
        <v>0</v>
      </c>
      <c r="F37" s="1">
        <v>0</v>
      </c>
      <c r="G37" s="2">
        <v>0</v>
      </c>
      <c r="J37" s="61">
        <f t="shared" si="6"/>
        <v>0</v>
      </c>
      <c r="K37" s="66"/>
      <c r="L37" s="1"/>
      <c r="M37" s="61">
        <f t="shared" si="1"/>
        <v>0</v>
      </c>
    </row>
    <row r="38" spans="1:15" x14ac:dyDescent="0.4">
      <c r="A38" s="11"/>
      <c r="B38" s="11"/>
      <c r="C38" s="11" t="s">
        <v>12</v>
      </c>
      <c r="D38" s="14">
        <f>-13204842.35-0.01</f>
        <v>-13204842.359999999</v>
      </c>
      <c r="E38" s="14">
        <f>-4614429.72+150730.5--300787.5</f>
        <v>-4162911.7199999997</v>
      </c>
      <c r="F38" s="1">
        <v>0</v>
      </c>
      <c r="G38" s="2">
        <v>0</v>
      </c>
      <c r="J38" s="61">
        <f t="shared" si="6"/>
        <v>-17367754.079999998</v>
      </c>
      <c r="K38" s="66"/>
      <c r="L38" s="1"/>
      <c r="M38" s="61">
        <f t="shared" si="1"/>
        <v>-17367754.079999998</v>
      </c>
    </row>
    <row r="39" spans="1:15" x14ac:dyDescent="0.4">
      <c r="A39" s="11"/>
      <c r="B39" s="11"/>
      <c r="C39" s="11" t="s">
        <v>43</v>
      </c>
      <c r="D39" s="6">
        <v>-5637669.7599999998</v>
      </c>
      <c r="E39" s="14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61">
        <f t="shared" si="6"/>
        <v>-5983125.4899999993</v>
      </c>
      <c r="K39" s="66"/>
      <c r="L39" s="1"/>
      <c r="M39" s="61">
        <f t="shared" si="1"/>
        <v>-5983125.4899999993</v>
      </c>
      <c r="O39" s="4">
        <f>5983125.49+M39</f>
        <v>0</v>
      </c>
    </row>
    <row r="40" spans="1:15" x14ac:dyDescent="0.4">
      <c r="A40" s="11"/>
      <c r="B40" s="11"/>
      <c r="C40" s="11" t="s">
        <v>20</v>
      </c>
      <c r="D40" s="19">
        <f>SUM(D31:D39)</f>
        <v>-28952525.079999998</v>
      </c>
      <c r="E40" s="19">
        <f>SUM(E31:E39)</f>
        <v>-5692798.9299999997</v>
      </c>
      <c r="F40" s="19">
        <f t="shared" ref="F40:M40" si="7">SUM(F31:F39)</f>
        <v>-3000239.17</v>
      </c>
      <c r="G40" s="19">
        <f t="shared" si="7"/>
        <v>-2217170.09</v>
      </c>
      <c r="H40" s="19">
        <f t="shared" si="7"/>
        <v>0</v>
      </c>
      <c r="I40" s="19">
        <f t="shared" si="7"/>
        <v>0</v>
      </c>
      <c r="J40" s="19">
        <f t="shared" si="7"/>
        <v>-39862733.270000003</v>
      </c>
      <c r="K40" s="66"/>
      <c r="L40" s="21"/>
      <c r="M40" s="19">
        <f t="shared" si="7"/>
        <v>-35136681.159999996</v>
      </c>
    </row>
    <row r="41" spans="1:15" x14ac:dyDescent="0.4">
      <c r="A41" s="11" t="s">
        <v>50</v>
      </c>
      <c r="B41" s="11"/>
      <c r="C41" s="11"/>
      <c r="D41" s="14"/>
      <c r="E41" s="14"/>
      <c r="J41" s="1"/>
      <c r="K41" s="66"/>
      <c r="L41" s="1"/>
    </row>
    <row r="42" spans="1:15" x14ac:dyDescent="0.4">
      <c r="A42" s="11"/>
      <c r="B42" s="11" t="s">
        <v>0</v>
      </c>
      <c r="C42" s="11"/>
      <c r="D42" s="14"/>
      <c r="E42" s="61"/>
      <c r="H42" s="1">
        <v>0</v>
      </c>
      <c r="J42" s="61">
        <f>+I42+H42+G42+F42+E42+D42</f>
        <v>0</v>
      </c>
      <c r="K42" s="66"/>
      <c r="L42" s="1"/>
      <c r="M42" s="61">
        <f t="shared" si="1"/>
        <v>0</v>
      </c>
    </row>
    <row r="43" spans="1:15" x14ac:dyDescent="0.4">
      <c r="A43" s="11"/>
      <c r="B43" s="11"/>
      <c r="C43" s="11" t="s">
        <v>43</v>
      </c>
      <c r="D43" s="57">
        <v>-1662591.75</v>
      </c>
      <c r="E43" s="14"/>
      <c r="H43" s="1">
        <v>0</v>
      </c>
      <c r="J43" s="61">
        <f>+I43+H43+G43+F43+E43+D43</f>
        <v>-1662591.75</v>
      </c>
      <c r="K43" s="71" t="s">
        <v>110</v>
      </c>
      <c r="L43" s="1">
        <v>1662591.75</v>
      </c>
      <c r="M43" s="75">
        <f t="shared" si="1"/>
        <v>0</v>
      </c>
    </row>
    <row r="44" spans="1:15" x14ac:dyDescent="0.4">
      <c r="A44" s="11"/>
      <c r="B44" s="11"/>
      <c r="C44" s="11" t="s">
        <v>21</v>
      </c>
      <c r="D44" s="19">
        <f t="shared" ref="D44:J44" si="8">SUM(D42:D43)</f>
        <v>-1662591.75</v>
      </c>
      <c r="E44" s="19">
        <f t="shared" si="8"/>
        <v>0</v>
      </c>
      <c r="F44" s="19">
        <f t="shared" si="8"/>
        <v>0</v>
      </c>
      <c r="G44" s="19">
        <f t="shared" si="8"/>
        <v>0</v>
      </c>
      <c r="H44" s="19">
        <f t="shared" si="8"/>
        <v>0</v>
      </c>
      <c r="I44" s="19">
        <f t="shared" si="8"/>
        <v>0</v>
      </c>
      <c r="J44" s="19">
        <f t="shared" si="8"/>
        <v>-1662591.75</v>
      </c>
      <c r="K44" s="66"/>
      <c r="L44" s="1"/>
      <c r="M44" s="19">
        <f>SUM(M42:M43)</f>
        <v>0</v>
      </c>
    </row>
    <row r="45" spans="1:15" ht="18.75" thickBot="1" x14ac:dyDescent="0.45">
      <c r="A45" s="11"/>
      <c r="B45" s="11"/>
      <c r="C45" s="11" t="s">
        <v>22</v>
      </c>
      <c r="D45" s="24">
        <f t="shared" ref="D45:J45" si="9">+D44+D40</f>
        <v>-30615116.829999998</v>
      </c>
      <c r="E45" s="24">
        <f t="shared" si="9"/>
        <v>-5692798.9299999997</v>
      </c>
      <c r="F45" s="24">
        <f t="shared" si="9"/>
        <v>-3000239.17</v>
      </c>
      <c r="G45" s="24">
        <f t="shared" si="9"/>
        <v>-2217170.09</v>
      </c>
      <c r="H45" s="24">
        <f t="shared" si="9"/>
        <v>0</v>
      </c>
      <c r="I45" s="24">
        <f t="shared" si="9"/>
        <v>0</v>
      </c>
      <c r="J45" s="24">
        <f t="shared" si="9"/>
        <v>-41525325.020000003</v>
      </c>
      <c r="K45" s="66"/>
      <c r="L45" s="1"/>
      <c r="M45" s="24">
        <f>+M44+M40</f>
        <v>-35136681.159999996</v>
      </c>
    </row>
    <row r="46" spans="1:15" ht="18.75" thickTop="1" x14ac:dyDescent="0.4">
      <c r="A46" s="11" t="s">
        <v>51</v>
      </c>
      <c r="B46" s="11"/>
      <c r="C46" s="11"/>
      <c r="D46" s="14"/>
      <c r="E46" s="14"/>
      <c r="J46" s="1"/>
      <c r="K46" s="66"/>
      <c r="L46" s="1"/>
    </row>
    <row r="47" spans="1:15" x14ac:dyDescent="0.4">
      <c r="A47" s="11"/>
      <c r="B47" s="11" t="s">
        <v>68</v>
      </c>
      <c r="C47" s="51"/>
      <c r="D47" s="14">
        <v>-362267781.5</v>
      </c>
      <c r="E47" s="14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61">
        <f t="shared" ref="J47:J58" si="10">+I47+H47+G47+F47+E47+D47</f>
        <v>-429199781.5</v>
      </c>
      <c r="K47" s="71" t="s">
        <v>87</v>
      </c>
      <c r="L47" s="1">
        <v>56419678</v>
      </c>
      <c r="M47" s="61">
        <f>+L47+J47+L48</f>
        <v>-362267781.5</v>
      </c>
    </row>
    <row r="48" spans="1:15" x14ac:dyDescent="0.4">
      <c r="A48" s="11"/>
      <c r="B48" s="11" t="s">
        <v>23</v>
      </c>
      <c r="C48" s="46"/>
      <c r="D48" s="14"/>
      <c r="E48" s="14"/>
      <c r="J48" s="61">
        <f t="shared" si="10"/>
        <v>0</v>
      </c>
      <c r="K48" s="71" t="s">
        <v>111</v>
      </c>
      <c r="L48" s="1">
        <f>425+5001000+4294+4326700+1179903</f>
        <v>10512322</v>
      </c>
    </row>
    <row r="49" spans="1:16" x14ac:dyDescent="0.4">
      <c r="A49" s="11"/>
      <c r="B49" s="11" t="s">
        <v>56</v>
      </c>
      <c r="C49" s="46"/>
      <c r="D49" s="14">
        <f>-28397546.2+67118444.17</f>
        <v>38720897.969999999</v>
      </c>
      <c r="E49" s="14"/>
      <c r="J49" s="61">
        <f t="shared" si="10"/>
        <v>38720897.969999999</v>
      </c>
      <c r="K49" s="66"/>
      <c r="L49" s="1"/>
      <c r="M49" s="61">
        <f t="shared" si="1"/>
        <v>38720897.969999999</v>
      </c>
    </row>
    <row r="50" spans="1:16" x14ac:dyDescent="0.4">
      <c r="A50" s="11"/>
      <c r="B50" s="11" t="s">
        <v>57</v>
      </c>
      <c r="C50" s="46"/>
      <c r="D50" s="14"/>
      <c r="E50" s="14"/>
      <c r="H50" s="1">
        <v>111655.85</v>
      </c>
      <c r="I50" s="1">
        <v>38737.33</v>
      </c>
      <c r="J50" s="61">
        <f t="shared" si="10"/>
        <v>150393.18</v>
      </c>
      <c r="K50" s="66"/>
      <c r="L50" s="1"/>
      <c r="M50" s="61">
        <f t="shared" si="1"/>
        <v>150393.18</v>
      </c>
      <c r="O50" s="4">
        <v>228793.18</v>
      </c>
      <c r="P50" s="4">
        <f>+O50-M50</f>
        <v>78400</v>
      </c>
    </row>
    <row r="51" spans="1:16" x14ac:dyDescent="0.4">
      <c r="A51" s="11"/>
      <c r="B51" s="11" t="s">
        <v>108</v>
      </c>
      <c r="C51" s="46"/>
      <c r="D51" s="57">
        <f>-22681399.34+23463363.08</f>
        <v>781963.73999999836</v>
      </c>
      <c r="E51" s="14"/>
      <c r="J51" s="61">
        <f t="shared" si="10"/>
        <v>781963.73999999836</v>
      </c>
      <c r="K51" s="78" t="s">
        <v>109</v>
      </c>
      <c r="L51" s="77">
        <f>-1250375-21431024.34</f>
        <v>-22681399.34</v>
      </c>
      <c r="M51" s="76">
        <f>+J51+L51+L52+L53</f>
        <v>0</v>
      </c>
    </row>
    <row r="52" spans="1:16" x14ac:dyDescent="0.4">
      <c r="A52" s="11"/>
      <c r="B52" s="11"/>
      <c r="C52" s="46"/>
      <c r="D52" s="14"/>
      <c r="E52" s="14"/>
      <c r="K52" s="84" t="s">
        <v>110</v>
      </c>
      <c r="L52" s="85"/>
    </row>
    <row r="53" spans="1:16" x14ac:dyDescent="0.4">
      <c r="A53" s="11"/>
      <c r="B53" s="11"/>
      <c r="C53" s="46"/>
      <c r="D53" s="14"/>
      <c r="E53" s="14"/>
      <c r="K53" s="79" t="s">
        <v>114</v>
      </c>
      <c r="L53" s="80">
        <v>21899435.600000001</v>
      </c>
    </row>
    <row r="54" spans="1:16" x14ac:dyDescent="0.4">
      <c r="A54" s="11"/>
      <c r="B54" s="11" t="s">
        <v>58</v>
      </c>
      <c r="C54" s="11"/>
      <c r="D54" s="14"/>
      <c r="E54" s="14"/>
      <c r="J54" s="61">
        <f t="shared" si="10"/>
        <v>0</v>
      </c>
      <c r="K54" s="66"/>
      <c r="L54" s="1"/>
      <c r="M54" s="61">
        <f t="shared" si="1"/>
        <v>0</v>
      </c>
    </row>
    <row r="55" spans="1:16" x14ac:dyDescent="0.4">
      <c r="A55" s="11"/>
      <c r="B55" s="11"/>
      <c r="C55" s="11" t="s">
        <v>35</v>
      </c>
      <c r="D55" s="15">
        <v>-2962180.66</v>
      </c>
      <c r="E55" s="15"/>
      <c r="J55" s="61">
        <f t="shared" si="10"/>
        <v>-2962180.66</v>
      </c>
      <c r="K55" s="66"/>
      <c r="L55" s="1"/>
      <c r="M55" s="61">
        <f t="shared" si="1"/>
        <v>-2962180.66</v>
      </c>
    </row>
    <row r="56" spans="1:16" x14ac:dyDescent="0.4">
      <c r="A56" s="11"/>
      <c r="B56" s="11"/>
      <c r="C56" s="11" t="s">
        <v>116</v>
      </c>
      <c r="D56" s="91">
        <f>+D89</f>
        <v>-4023039.7100000009</v>
      </c>
      <c r="E56" s="15">
        <f>+E89</f>
        <v>-9262083.7899999991</v>
      </c>
      <c r="F56" s="15">
        <f>+F89</f>
        <v>1090678.93</v>
      </c>
      <c r="G56" s="15">
        <f>+G89</f>
        <v>1566605.83</v>
      </c>
      <c r="H56" s="15">
        <f>H89</f>
        <v>-40003.350000000006</v>
      </c>
      <c r="I56" s="15">
        <f>+I89</f>
        <v>-271135.14</v>
      </c>
      <c r="J56" s="76">
        <f t="shared" si="10"/>
        <v>-10938977.23</v>
      </c>
      <c r="K56" s="67" t="s">
        <v>124</v>
      </c>
      <c r="L56" s="61">
        <f>+L89</f>
        <v>-525007.16</v>
      </c>
      <c r="M56" s="94">
        <f>+L56+J56</f>
        <v>-11463984.390000001</v>
      </c>
    </row>
    <row r="57" spans="1:16" x14ac:dyDescent="0.4">
      <c r="A57" s="11"/>
      <c r="B57" s="11"/>
      <c r="C57" s="11"/>
      <c r="D57" s="15"/>
      <c r="E57" s="15"/>
      <c r="F57" s="15"/>
      <c r="G57" s="15"/>
      <c r="H57" s="15"/>
      <c r="I57" s="72"/>
      <c r="J57" s="1"/>
      <c r="K57" s="78" t="s">
        <v>114</v>
      </c>
      <c r="L57" s="73">
        <f>-(+E58+F58+G58+H58+I58)</f>
        <v>-29747581.820000004</v>
      </c>
    </row>
    <row r="58" spans="1:16" x14ac:dyDescent="0.4">
      <c r="A58" s="11"/>
      <c r="B58" s="11"/>
      <c r="C58" s="11" t="s">
        <v>115</v>
      </c>
      <c r="D58" s="92">
        <v>-56281432.560000002</v>
      </c>
      <c r="E58" s="29">
        <f>-533031.27</f>
        <v>-533031.27</v>
      </c>
      <c r="F58" s="60">
        <f>11662591.75</f>
        <v>11662591.75</v>
      </c>
      <c r="G58" s="65">
        <f>20184627.17-G56</f>
        <v>18618021.340000004</v>
      </c>
      <c r="H58" s="60">
        <v>0</v>
      </c>
      <c r="I58" s="60">
        <v>0</v>
      </c>
      <c r="J58" s="76">
        <f t="shared" si="10"/>
        <v>-26533850.739999998</v>
      </c>
      <c r="K58" s="66"/>
      <c r="L58" s="39"/>
      <c r="M58" s="93">
        <f>+L58+J58+L57</f>
        <v>-56281432.560000002</v>
      </c>
    </row>
    <row r="59" spans="1:16" x14ac:dyDescent="0.4">
      <c r="A59" s="11"/>
      <c r="B59" s="11"/>
      <c r="C59" s="11" t="s">
        <v>36</v>
      </c>
      <c r="D59" s="14">
        <f>SUM(D47:D58)</f>
        <v>-386031572.71999997</v>
      </c>
      <c r="E59" s="14">
        <f t="shared" ref="E59:J59" si="11">SUM(E47:E58)</f>
        <v>-14045115.059999999</v>
      </c>
      <c r="F59" s="14">
        <f t="shared" si="11"/>
        <v>2753270.6799999997</v>
      </c>
      <c r="G59" s="14">
        <f t="shared" si="11"/>
        <v>-22755372.829999998</v>
      </c>
      <c r="H59" s="14">
        <f t="shared" si="11"/>
        <v>-8758347.5</v>
      </c>
      <c r="I59" s="14">
        <f t="shared" si="11"/>
        <v>-1144397.81</v>
      </c>
      <c r="J59" s="14">
        <f t="shared" si="11"/>
        <v>-429981535.24000001</v>
      </c>
      <c r="K59" s="66"/>
      <c r="L59" s="1"/>
      <c r="M59" s="14">
        <f>SUM(M47:M58)</f>
        <v>-394104087.95999998</v>
      </c>
    </row>
    <row r="60" spans="1:16" x14ac:dyDescent="0.4">
      <c r="A60" s="11"/>
      <c r="B60" s="11" t="s">
        <v>2</v>
      </c>
      <c r="C60" s="11"/>
      <c r="D60" s="21"/>
      <c r="E60" s="21"/>
      <c r="F60" s="21"/>
      <c r="G60" s="21"/>
      <c r="H60" s="21"/>
      <c r="I60" s="21"/>
      <c r="J60" s="21"/>
      <c r="K60" s="71" t="s">
        <v>111</v>
      </c>
      <c r="L60" s="1">
        <f>-L48</f>
        <v>-10512322</v>
      </c>
      <c r="M60" s="61">
        <f>+J60+L60+L61+L65+L64+L63+L62</f>
        <v>472445.15999999968</v>
      </c>
    </row>
    <row r="61" spans="1:16" x14ac:dyDescent="0.4">
      <c r="A61" s="11"/>
      <c r="B61" s="11"/>
      <c r="C61" s="11"/>
      <c r="D61" s="29"/>
      <c r="E61" s="29"/>
      <c r="F61" s="29"/>
      <c r="G61" s="29"/>
      <c r="H61" s="29"/>
      <c r="I61" s="29"/>
      <c r="J61" s="29"/>
      <c r="K61" s="84" t="s">
        <v>117</v>
      </c>
      <c r="L61" s="1">
        <v>7848146.2199999997</v>
      </c>
    </row>
    <row r="62" spans="1:16" x14ac:dyDescent="0.4">
      <c r="A62" s="11"/>
      <c r="B62" s="11"/>
      <c r="C62" s="11"/>
      <c r="D62" s="21"/>
      <c r="E62" s="21"/>
      <c r="F62" s="21"/>
      <c r="G62" s="21"/>
      <c r="H62" s="21"/>
      <c r="I62" s="21"/>
      <c r="J62" s="21"/>
      <c r="K62" s="71" t="str">
        <f>+K43</f>
        <v>5)AJE ประมาณการชาดทุน</v>
      </c>
      <c r="L62" s="1">
        <f>-L43</f>
        <v>-1662591.75</v>
      </c>
    </row>
    <row r="63" spans="1:16" x14ac:dyDescent="0.4">
      <c r="A63" s="11"/>
      <c r="B63" s="11"/>
      <c r="C63" s="11"/>
      <c r="D63" s="21"/>
      <c r="E63" s="21"/>
      <c r="F63" s="21"/>
      <c r="G63" s="21"/>
      <c r="H63" s="21"/>
      <c r="I63" s="21"/>
      <c r="J63" s="21"/>
      <c r="K63" s="66" t="s">
        <v>130</v>
      </c>
      <c r="L63" s="1">
        <f>-L10</f>
        <v>4274821.25</v>
      </c>
    </row>
    <row r="64" spans="1:16" x14ac:dyDescent="0.4">
      <c r="A64" s="11"/>
      <c r="B64" s="11"/>
      <c r="C64" s="11"/>
      <c r="D64" s="21"/>
      <c r="E64" s="21"/>
      <c r="F64" s="21"/>
      <c r="G64" s="21"/>
      <c r="H64" s="21"/>
      <c r="I64" s="21"/>
      <c r="J64" s="21"/>
      <c r="K64" s="84"/>
      <c r="L64" s="1">
        <f>-L18</f>
        <v>-615.72</v>
      </c>
    </row>
    <row r="65" spans="1:15" x14ac:dyDescent="0.4">
      <c r="A65" s="11"/>
      <c r="B65" s="11"/>
      <c r="C65" s="11" t="s">
        <v>24</v>
      </c>
      <c r="D65" s="14">
        <f t="shared" ref="D65:J65" si="12">+D60+D59</f>
        <v>-386031572.71999997</v>
      </c>
      <c r="E65" s="14">
        <f t="shared" si="12"/>
        <v>-14045115.059999999</v>
      </c>
      <c r="F65" s="14">
        <f t="shared" si="12"/>
        <v>2753270.6799999997</v>
      </c>
      <c r="G65" s="14">
        <f t="shared" si="12"/>
        <v>-22755372.829999998</v>
      </c>
      <c r="H65" s="14">
        <f t="shared" si="12"/>
        <v>-8758347.5</v>
      </c>
      <c r="I65" s="14">
        <f t="shared" si="12"/>
        <v>-1144397.81</v>
      </c>
      <c r="J65" s="14">
        <f t="shared" si="12"/>
        <v>-429981535.24000001</v>
      </c>
      <c r="K65" s="74" t="s">
        <v>119</v>
      </c>
      <c r="L65" s="1">
        <f>-L88</f>
        <v>525007.16</v>
      </c>
      <c r="M65" s="14">
        <f>+M60+M59</f>
        <v>-393631642.79999995</v>
      </c>
    </row>
    <row r="66" spans="1:15" ht="18.75" thickBot="1" x14ac:dyDescent="0.45">
      <c r="A66" s="11" t="s">
        <v>38</v>
      </c>
      <c r="B66" s="11"/>
      <c r="C66" s="11"/>
      <c r="D66" s="24">
        <f t="shared" ref="D66:J66" si="13">+D65+D45</f>
        <v>-416646689.54999995</v>
      </c>
      <c r="E66" s="24">
        <f t="shared" si="13"/>
        <v>-19737913.989999998</v>
      </c>
      <c r="F66" s="24">
        <f t="shared" si="13"/>
        <v>-246968.49000000022</v>
      </c>
      <c r="G66" s="24">
        <f t="shared" si="13"/>
        <v>-24972542.919999998</v>
      </c>
      <c r="H66" s="24">
        <f t="shared" si="13"/>
        <v>-8758347.5</v>
      </c>
      <c r="I66" s="24">
        <f t="shared" si="13"/>
        <v>-1144397.81</v>
      </c>
      <c r="J66" s="24">
        <f t="shared" si="13"/>
        <v>-471506860.25999999</v>
      </c>
      <c r="L66" s="1"/>
      <c r="M66" s="24">
        <f>+M65+M45</f>
        <v>-428768323.95999992</v>
      </c>
    </row>
    <row r="67" spans="1:15" ht="18.75" thickTop="1" x14ac:dyDescent="0.4">
      <c r="A67" s="11"/>
      <c r="B67" s="11"/>
      <c r="C67" s="11"/>
      <c r="D67" s="21">
        <f t="shared" ref="D67:J67" si="14">+D66+D29</f>
        <v>0</v>
      </c>
      <c r="E67" s="52">
        <f t="shared" si="14"/>
        <v>0</v>
      </c>
      <c r="F67" s="52">
        <f t="shared" si="14"/>
        <v>-2.3283064365386963E-10</v>
      </c>
      <c r="G67" s="52">
        <f t="shared" si="14"/>
        <v>0</v>
      </c>
      <c r="H67" s="52">
        <f t="shared" si="14"/>
        <v>0</v>
      </c>
      <c r="I67" s="52">
        <f t="shared" si="14"/>
        <v>0</v>
      </c>
      <c r="J67" s="52">
        <f t="shared" si="14"/>
        <v>0</v>
      </c>
      <c r="K67" s="70" t="s">
        <v>79</v>
      </c>
      <c r="L67" s="54">
        <f>SUM(L6:L66)</f>
        <v>0</v>
      </c>
      <c r="M67" s="52">
        <f>+M66+M29</f>
        <v>0</v>
      </c>
    </row>
    <row r="68" spans="1:15" x14ac:dyDescent="0.4">
      <c r="A68" s="11"/>
      <c r="B68" s="11"/>
      <c r="C68" s="20"/>
      <c r="D68" s="13"/>
      <c r="E68" s="13"/>
      <c r="J68" s="1"/>
      <c r="K68" s="66"/>
      <c r="L68" s="1"/>
    </row>
    <row r="69" spans="1:15" ht="18" customHeight="1" x14ac:dyDescent="0.4">
      <c r="A69" s="58" t="s">
        <v>3</v>
      </c>
      <c r="B69" s="58"/>
      <c r="C69" s="58"/>
      <c r="D69" s="58"/>
      <c r="E69" s="58"/>
      <c r="J69" s="1"/>
      <c r="K69" s="66"/>
      <c r="L69" s="1"/>
    </row>
    <row r="70" spans="1:15" x14ac:dyDescent="0.4">
      <c r="A70" s="11" t="s">
        <v>39</v>
      </c>
      <c r="B70" s="11"/>
      <c r="C70" s="11"/>
      <c r="D70" s="14"/>
      <c r="E70" s="14"/>
      <c r="J70" s="1"/>
      <c r="K70" s="66"/>
      <c r="L70" s="1"/>
    </row>
    <row r="71" spans="1:15" x14ac:dyDescent="0.4">
      <c r="A71" s="11"/>
      <c r="B71" s="11" t="s">
        <v>59</v>
      </c>
      <c r="C71" s="11"/>
      <c r="D71" s="21">
        <v>-10893533.35</v>
      </c>
      <c r="E71" s="14">
        <v>-15052500</v>
      </c>
      <c r="F71" s="1">
        <v>0</v>
      </c>
      <c r="G71" s="2">
        <v>0</v>
      </c>
      <c r="H71" s="2">
        <v>0</v>
      </c>
      <c r="I71" s="2">
        <v>-300000</v>
      </c>
      <c r="J71" s="61">
        <f>+I71+H71+G71+F71+E71+D71</f>
        <v>-26246033.350000001</v>
      </c>
      <c r="K71" s="71" t="s">
        <v>86</v>
      </c>
      <c r="L71" s="1">
        <f>223380.11+234143.83+817793.77+265956</f>
        <v>1541273.71</v>
      </c>
      <c r="M71" s="61">
        <f t="shared" si="1"/>
        <v>-24704759.640000001</v>
      </c>
      <c r="O71" s="4">
        <f>24704759.64+M71</f>
        <v>0</v>
      </c>
    </row>
    <row r="72" spans="1:15" x14ac:dyDescent="0.4">
      <c r="A72" s="11"/>
      <c r="B72" s="11" t="s">
        <v>42</v>
      </c>
      <c r="C72" s="11"/>
      <c r="D72" s="14"/>
      <c r="E72" s="14"/>
      <c r="H72" s="2"/>
      <c r="I72" s="2"/>
      <c r="J72" s="61">
        <f>+I72+H72+G72+F72+E72+D72</f>
        <v>0</v>
      </c>
      <c r="K72" s="66"/>
      <c r="L72" s="1"/>
      <c r="M72" s="61">
        <f t="shared" si="1"/>
        <v>0</v>
      </c>
    </row>
    <row r="73" spans="1:15" x14ac:dyDescent="0.4">
      <c r="A73" s="11"/>
      <c r="B73" s="11"/>
      <c r="C73" s="11" t="s">
        <v>13</v>
      </c>
      <c r="D73" s="21">
        <v>-2818284.07</v>
      </c>
      <c r="E73" s="14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61">
        <f>+I73+H73+G73+F73+E73+D73</f>
        <v>-2929373.9099999997</v>
      </c>
      <c r="K73" s="66"/>
      <c r="L73" s="1"/>
      <c r="M73" s="61">
        <f t="shared" si="1"/>
        <v>-2929373.9099999997</v>
      </c>
      <c r="O73" s="4">
        <f>2929373.91+M73</f>
        <v>0</v>
      </c>
    </row>
    <row r="74" spans="1:15" x14ac:dyDescent="0.4">
      <c r="A74" s="11"/>
      <c r="B74" s="11"/>
      <c r="C74" s="11" t="s">
        <v>43</v>
      </c>
      <c r="D74" s="14">
        <v>-3426490.45</v>
      </c>
      <c r="E74" s="14">
        <v>0</v>
      </c>
      <c r="F74" s="1">
        <v>0</v>
      </c>
      <c r="G74" s="2">
        <v>0</v>
      </c>
      <c r="H74" s="2">
        <v>-63528.73</v>
      </c>
      <c r="I74" s="2"/>
      <c r="J74" s="61">
        <f>+I74+H74+G74+F74+E74+D74</f>
        <v>-3490019.18</v>
      </c>
      <c r="K74" s="71"/>
      <c r="L74" s="1"/>
      <c r="M74" s="61">
        <f t="shared" si="1"/>
        <v>-3490019.18</v>
      </c>
      <c r="O74" s="4">
        <f>3490019.18+M74</f>
        <v>0</v>
      </c>
    </row>
    <row r="75" spans="1:15" x14ac:dyDescent="0.4">
      <c r="A75" s="11"/>
      <c r="B75" s="11" t="s">
        <v>5</v>
      </c>
      <c r="C75" s="11"/>
      <c r="D75" s="14"/>
      <c r="E75" s="14"/>
      <c r="H75" s="2"/>
      <c r="I75" s="2"/>
      <c r="J75" s="61">
        <f>+I75+H75+G75+F75+E75+D75</f>
        <v>0</v>
      </c>
      <c r="K75" s="66"/>
      <c r="L75" s="1"/>
      <c r="M75" s="61">
        <f t="shared" si="1"/>
        <v>0</v>
      </c>
    </row>
    <row r="76" spans="1:15" x14ac:dyDescent="0.4">
      <c r="A76" s="11"/>
      <c r="B76" s="11"/>
      <c r="C76" s="11" t="s">
        <v>14</v>
      </c>
      <c r="D76" s="19">
        <f t="shared" ref="D76:J76" si="15">SUM(D71:D75)</f>
        <v>-17138307.870000001</v>
      </c>
      <c r="E76" s="19">
        <f t="shared" si="15"/>
        <v>-15158110.43</v>
      </c>
      <c r="F76" s="19">
        <f t="shared" si="15"/>
        <v>0</v>
      </c>
      <c r="G76" s="19">
        <f t="shared" si="15"/>
        <v>0</v>
      </c>
      <c r="H76" s="19">
        <f t="shared" si="15"/>
        <v>-69007.570000000007</v>
      </c>
      <c r="I76" s="19">
        <f t="shared" si="15"/>
        <v>-300000.57</v>
      </c>
      <c r="J76" s="19">
        <f t="shared" si="15"/>
        <v>-32665426.440000001</v>
      </c>
      <c r="K76" s="66"/>
      <c r="L76" s="1"/>
      <c r="M76" s="19">
        <f>SUM(M71:M75)</f>
        <v>-31124152.73</v>
      </c>
      <c r="O76" s="4">
        <f>31124152.73+M76</f>
        <v>0</v>
      </c>
    </row>
    <row r="77" spans="1:15" x14ac:dyDescent="0.4">
      <c r="A77" s="11" t="s">
        <v>40</v>
      </c>
      <c r="B77" s="11"/>
      <c r="C77" s="11"/>
      <c r="D77" s="14"/>
      <c r="E77" s="14"/>
      <c r="H77" s="2"/>
      <c r="I77" s="2"/>
      <c r="J77" s="2"/>
      <c r="K77" s="66"/>
      <c r="L77" s="1"/>
      <c r="M77" s="61">
        <f t="shared" si="1"/>
        <v>0</v>
      </c>
    </row>
    <row r="78" spans="1:15" x14ac:dyDescent="0.4">
      <c r="A78" s="11"/>
      <c r="B78" s="11" t="s">
        <v>7</v>
      </c>
      <c r="C78" s="11"/>
      <c r="D78" s="14">
        <v>5248379.3499999996</v>
      </c>
      <c r="E78" s="14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61">
        <f>+I78+H78+G78+F78+E78+D78</f>
        <v>7350677.8999999994</v>
      </c>
      <c r="K78" s="66"/>
      <c r="L78" s="1">
        <v>-602250</v>
      </c>
      <c r="M78" s="61">
        <f t="shared" si="1"/>
        <v>6748427.8999999994</v>
      </c>
      <c r="O78" s="4">
        <f>6748427.9-M78</f>
        <v>0</v>
      </c>
    </row>
    <row r="79" spans="1:15" x14ac:dyDescent="0.4">
      <c r="A79" s="11"/>
      <c r="B79" s="11" t="s">
        <v>25</v>
      </c>
      <c r="C79" s="11"/>
      <c r="D79" s="14">
        <v>7439667.2199999997</v>
      </c>
      <c r="E79" s="14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61">
        <f>+I79+H79+G79+F79+E79+D79</f>
        <v>9979085.2400000002</v>
      </c>
      <c r="K79" s="71" t="s">
        <v>86</v>
      </c>
      <c r="L79" s="1">
        <f>-(223380.11+234143.83+817793.77)-(265956)+602250</f>
        <v>-939023.71</v>
      </c>
      <c r="M79" s="61">
        <f t="shared" ref="M79:M92" si="16">+L79+J79</f>
        <v>9040061.5300000012</v>
      </c>
      <c r="O79" s="4">
        <f>8037436.53-M79</f>
        <v>-1002625.0000000009</v>
      </c>
    </row>
    <row r="80" spans="1:15" x14ac:dyDescent="0.4">
      <c r="A80" s="11"/>
      <c r="B80" s="11" t="s">
        <v>60</v>
      </c>
      <c r="C80" s="11"/>
      <c r="D80" s="14"/>
      <c r="E80" s="14"/>
      <c r="F80" s="2"/>
      <c r="H80" s="2">
        <v>0</v>
      </c>
      <c r="I80" s="2"/>
      <c r="J80" s="61">
        <f>+I80+H80+G80+F80+E80+D80</f>
        <v>0</v>
      </c>
      <c r="K80" s="66"/>
      <c r="L80" s="1"/>
      <c r="M80" s="61">
        <f t="shared" si="16"/>
        <v>0</v>
      </c>
    </row>
    <row r="81" spans="1:15" x14ac:dyDescent="0.4">
      <c r="A81" s="11"/>
      <c r="B81" s="11" t="s">
        <v>61</v>
      </c>
      <c r="C81" s="11"/>
      <c r="D81" s="14">
        <v>338000</v>
      </c>
      <c r="E81" s="14">
        <v>0</v>
      </c>
      <c r="F81" s="2"/>
      <c r="H81" s="2">
        <v>0</v>
      </c>
      <c r="I81" s="2"/>
      <c r="J81" s="61">
        <f>+I81+H81+G81+F81+E81+D81</f>
        <v>338000</v>
      </c>
      <c r="K81" s="66"/>
      <c r="L81" s="1"/>
      <c r="M81" s="61">
        <f t="shared" si="16"/>
        <v>338000</v>
      </c>
      <c r="O81" s="88"/>
    </row>
    <row r="82" spans="1:15" x14ac:dyDescent="0.4">
      <c r="A82" s="11"/>
      <c r="B82" s="11"/>
      <c r="C82" s="11" t="s">
        <v>6</v>
      </c>
      <c r="D82" s="19">
        <f t="shared" ref="D82:J82" si="17">SUM(D78:D81)</f>
        <v>13026046.57</v>
      </c>
      <c r="E82" s="19">
        <f t="shared" si="17"/>
        <v>1926562.1600000001</v>
      </c>
      <c r="F82" s="19">
        <f t="shared" si="17"/>
        <v>1090678.93</v>
      </c>
      <c r="G82" s="19">
        <f t="shared" si="17"/>
        <v>1566605.83</v>
      </c>
      <c r="H82" s="19">
        <f t="shared" si="17"/>
        <v>29004.22</v>
      </c>
      <c r="I82" s="19">
        <f t="shared" si="17"/>
        <v>28865.43</v>
      </c>
      <c r="J82" s="19">
        <f t="shared" si="17"/>
        <v>17667763.140000001</v>
      </c>
      <c r="K82" s="66"/>
      <c r="L82" s="1"/>
      <c r="M82" s="86">
        <f>SUM(M78:M81)</f>
        <v>16126489.43</v>
      </c>
    </row>
    <row r="83" spans="1:15" x14ac:dyDescent="0.4">
      <c r="A83" s="11"/>
      <c r="B83" s="11"/>
      <c r="C83" s="11" t="s">
        <v>129</v>
      </c>
      <c r="D83" s="14"/>
      <c r="E83" s="95">
        <f>4270251.98-3969464.48</f>
        <v>300787.50000000047</v>
      </c>
      <c r="F83" s="14"/>
      <c r="G83" s="14"/>
      <c r="H83" s="14"/>
      <c r="I83" s="14"/>
      <c r="J83" s="14"/>
      <c r="K83" s="66"/>
      <c r="L83" s="1"/>
      <c r="M83" s="61">
        <f t="shared" si="16"/>
        <v>0</v>
      </c>
    </row>
    <row r="84" spans="1:15" x14ac:dyDescent="0.4">
      <c r="A84" s="11" t="s">
        <v>15</v>
      </c>
      <c r="B84" s="11"/>
      <c r="C84" s="11"/>
      <c r="D84" s="14">
        <f t="shared" ref="D84:J84" si="18">+D76+D82</f>
        <v>-4112261.3000000007</v>
      </c>
      <c r="E84" s="14">
        <f t="shared" si="18"/>
        <v>-13231548.27</v>
      </c>
      <c r="F84" s="14">
        <f t="shared" si="18"/>
        <v>1090678.93</v>
      </c>
      <c r="G84" s="14">
        <f t="shared" si="18"/>
        <v>1566605.83</v>
      </c>
      <c r="H84" s="14">
        <f t="shared" si="18"/>
        <v>-40003.350000000006</v>
      </c>
      <c r="I84" s="14">
        <f t="shared" si="18"/>
        <v>-271135.14</v>
      </c>
      <c r="J84" s="14">
        <f t="shared" si="18"/>
        <v>-14997663.300000001</v>
      </c>
      <c r="K84" s="66"/>
      <c r="L84" s="1"/>
      <c r="M84" s="61">
        <f t="shared" si="16"/>
        <v>-14997663.300000001</v>
      </c>
    </row>
    <row r="85" spans="1:15" x14ac:dyDescent="0.4">
      <c r="A85" s="11" t="s">
        <v>41</v>
      </c>
      <c r="B85" s="11"/>
      <c r="C85" s="11"/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61">
        <f>+I85+H85+G85+F85+E85+D85</f>
        <v>0</v>
      </c>
      <c r="K85" s="66"/>
      <c r="L85" s="1"/>
      <c r="M85" s="61">
        <f t="shared" si="16"/>
        <v>0</v>
      </c>
    </row>
    <row r="86" spans="1:15" x14ac:dyDescent="0.4">
      <c r="A86" s="11" t="s">
        <v>16</v>
      </c>
      <c r="B86" s="11"/>
      <c r="C86" s="11"/>
      <c r="D86" s="29">
        <v>89221.59</v>
      </c>
      <c r="E86" s="41">
        <f>4270251.98-300787.5</f>
        <v>3969464.4800000004</v>
      </c>
      <c r="F86" s="41">
        <v>0</v>
      </c>
      <c r="G86" s="41">
        <v>0</v>
      </c>
      <c r="H86" s="41">
        <v>0</v>
      </c>
      <c r="I86" s="41">
        <v>0</v>
      </c>
      <c r="J86" s="60">
        <f>+I86+H86+G86+F86+E86+D86</f>
        <v>4058686.0700000003</v>
      </c>
      <c r="K86" s="66"/>
      <c r="L86" s="1"/>
      <c r="M86" s="60">
        <f t="shared" si="16"/>
        <v>4058686.0700000003</v>
      </c>
    </row>
    <row r="87" spans="1:15" x14ac:dyDescent="0.4">
      <c r="A87" s="11" t="s">
        <v>29</v>
      </c>
      <c r="B87" s="11"/>
      <c r="C87" s="11"/>
      <c r="D87" s="20">
        <f>SUM(D84:D86)</f>
        <v>-4023039.7100000009</v>
      </c>
      <c r="E87" s="20">
        <f t="shared" ref="E87:J87" si="19">SUM(E84:E86)</f>
        <v>-9262083.7899999991</v>
      </c>
      <c r="F87" s="20">
        <f t="shared" si="19"/>
        <v>1090678.93</v>
      </c>
      <c r="G87" s="20">
        <f t="shared" si="19"/>
        <v>1566605.83</v>
      </c>
      <c r="H87" s="20">
        <f t="shared" si="19"/>
        <v>-40003.350000000006</v>
      </c>
      <c r="I87" s="20">
        <f t="shared" si="19"/>
        <v>-271135.14</v>
      </c>
      <c r="J87" s="20">
        <f t="shared" si="19"/>
        <v>-10938977.23</v>
      </c>
      <c r="K87" s="66"/>
      <c r="L87" s="1"/>
      <c r="M87" s="61">
        <f>SUM(M84:M86)</f>
        <v>-10938977.23</v>
      </c>
    </row>
    <row r="88" spans="1:15" x14ac:dyDescent="0.4">
      <c r="A88" s="11" t="s">
        <v>37</v>
      </c>
      <c r="B88" s="11"/>
      <c r="C88" s="11"/>
      <c r="D88" s="41">
        <v>0</v>
      </c>
      <c r="E88" s="41">
        <v>0</v>
      </c>
      <c r="F88" s="41">
        <v>0</v>
      </c>
      <c r="G88" s="41">
        <v>0</v>
      </c>
      <c r="H88" s="41">
        <v>0</v>
      </c>
      <c r="I88" s="41">
        <v>0</v>
      </c>
      <c r="J88" s="41">
        <v>0</v>
      </c>
      <c r="K88" s="71" t="s">
        <v>123</v>
      </c>
      <c r="L88" s="1">
        <v>-525007.16</v>
      </c>
      <c r="M88" s="60">
        <f t="shared" si="16"/>
        <v>-525007.16</v>
      </c>
    </row>
    <row r="89" spans="1:15" ht="18.75" thickBot="1" x14ac:dyDescent="0.45">
      <c r="A89" s="11" t="s">
        <v>30</v>
      </c>
      <c r="B89" s="11"/>
      <c r="C89" s="11"/>
      <c r="D89" s="24">
        <f t="shared" ref="D89:J89" si="20">SUM(D87:D88)</f>
        <v>-4023039.7100000009</v>
      </c>
      <c r="E89" s="24">
        <f t="shared" si="20"/>
        <v>-9262083.7899999991</v>
      </c>
      <c r="F89" s="24">
        <f t="shared" si="20"/>
        <v>1090678.93</v>
      </c>
      <c r="G89" s="24">
        <f t="shared" si="20"/>
        <v>1566605.83</v>
      </c>
      <c r="H89" s="24">
        <f t="shared" si="20"/>
        <v>-40003.350000000006</v>
      </c>
      <c r="I89" s="24">
        <f t="shared" si="20"/>
        <v>-271135.14</v>
      </c>
      <c r="J89" s="24">
        <f t="shared" si="20"/>
        <v>-10938977.23</v>
      </c>
      <c r="K89" s="66"/>
      <c r="L89" s="1">
        <f>+SUM(L71:L88)</f>
        <v>-525007.16</v>
      </c>
      <c r="M89" s="87">
        <f>SUM(M87:M88)</f>
        <v>-11463984.390000001</v>
      </c>
    </row>
    <row r="90" spans="1:15" ht="9.9499999999999993" customHeight="1" thickTop="1" x14ac:dyDescent="0.4">
      <c r="A90" s="11"/>
      <c r="B90" s="11"/>
      <c r="C90" s="11"/>
      <c r="D90" s="21"/>
      <c r="E90" s="21"/>
      <c r="F90" s="2"/>
      <c r="G90" s="21"/>
      <c r="H90" s="21"/>
      <c r="I90" s="2"/>
      <c r="J90" s="2"/>
      <c r="K90" s="66"/>
      <c r="L90" s="1"/>
      <c r="M90" s="61">
        <f t="shared" si="16"/>
        <v>0</v>
      </c>
    </row>
    <row r="91" spans="1:15" x14ac:dyDescent="0.4">
      <c r="M91" s="61">
        <f t="shared" si="16"/>
        <v>0</v>
      </c>
    </row>
    <row r="92" spans="1:15" x14ac:dyDescent="0.4">
      <c r="M92" s="61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BS_Q4-62</vt:lpstr>
      <vt:lpstr>PL_Q4-62</vt:lpstr>
      <vt:lpstr>Changed-Conso</vt:lpstr>
      <vt:lpstr>Changed-Com</vt:lpstr>
      <vt:lpstr>CashFlow</vt:lpstr>
      <vt:lpstr>Equity</vt:lpstr>
      <vt:lpstr>Conso_Q150</vt:lpstr>
      <vt:lpstr>CashFlow!OLE_LINK3</vt:lpstr>
      <vt:lpstr>'BS_Q4-62'!Print_Area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'PL_Q4-62'!Print_Area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2020-02-24T02:15:20Z</cp:lastPrinted>
  <dcterms:created xsi:type="dcterms:W3CDTF">2003-04-30T06:44:25Z</dcterms:created>
  <dcterms:modified xsi:type="dcterms:W3CDTF">2020-02-25T07:15:10Z</dcterms:modified>
</cp:coreProperties>
</file>