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ayu\Dropbox\BROOKER GROUP\2023_Q1_BROOK\FS\"/>
    </mc:Choice>
  </mc:AlternateContent>
  <xr:revisionPtr revIDLastSave="0" documentId="13_ncr:1_{29EC74A8-9A1C-4952-B5DE-AA70FF3E4FCC}" xr6:coauthVersionLast="47" xr6:coauthVersionMax="47" xr10:uidLastSave="{00000000-0000-0000-0000-000000000000}"/>
  <bookViews>
    <workbookView xWindow="-110" yWindow="-110" windowWidth="25820" windowHeight="15620" tabRatio="640" activeTab="4" xr2:uid="{00000000-000D-0000-FFFF-FFFF00000000}"/>
  </bookViews>
  <sheets>
    <sheet name="BS_Q1-66" sheetId="50" r:id="rId1"/>
    <sheet name="Changed-Conso" sheetId="49" r:id="rId2"/>
    <sheet name="Changed-Com" sheetId="48" r:id="rId3"/>
    <sheet name="PL_Q1-66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CashFlow!$A$136</definedName>
    <definedName name="_xlnm.Print_Area" localSheetId="0">'BS_Q1-66'!$A$1:$L$138</definedName>
    <definedName name="_xlnm.Print_Area" localSheetId="4">CashFlow!$A$1:$M$88</definedName>
    <definedName name="_xlnm.Print_Area" localSheetId="2">'Changed-Com'!$A$1:$X$45</definedName>
    <definedName name="_xlnm.Print_Area" localSheetId="1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3">'PL_Q1-66'!$A$1:$L$101</definedName>
    <definedName name="_xlnm.Print_Titles" localSheetId="4">CashFlow!$1:$8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27" i="48" l="1"/>
  <c r="X13" i="48"/>
  <c r="T14" i="49"/>
  <c r="V14" i="49" s="1"/>
  <c r="Z14" i="49" s="1"/>
  <c r="A43" i="47" l="1"/>
  <c r="A81" i="47" s="1"/>
  <c r="A49" i="58"/>
  <c r="A84" i="58" s="1"/>
  <c r="A122" i="50"/>
  <c r="A43" i="49" s="1"/>
  <c r="A82" i="50"/>
  <c r="A42" i="48" l="1"/>
  <c r="L79" i="50"/>
  <c r="L73" i="50"/>
  <c r="H79" i="50"/>
  <c r="H80" i="50" s="1"/>
  <c r="H73" i="50"/>
  <c r="L40" i="50"/>
  <c r="L28" i="50"/>
  <c r="L8" i="50"/>
  <c r="H40" i="50"/>
  <c r="H28" i="50"/>
  <c r="L27" i="58"/>
  <c r="J27" i="58"/>
  <c r="H27" i="58"/>
  <c r="F27" i="58"/>
  <c r="T31" i="48"/>
  <c r="V23" i="48"/>
  <c r="X23" i="48" s="1"/>
  <c r="T20" i="48"/>
  <c r="X20" i="48" s="1"/>
  <c r="X19" i="48"/>
  <c r="X18" i="48"/>
  <c r="X17" i="48"/>
  <c r="X16" i="48"/>
  <c r="N32" i="49"/>
  <c r="X21" i="49"/>
  <c r="P21" i="49"/>
  <c r="T21" i="49" s="1"/>
  <c r="R23" i="49"/>
  <c r="P23" i="49"/>
  <c r="T23" i="49" s="1"/>
  <c r="N23" i="49"/>
  <c r="T20" i="49"/>
  <c r="N20" i="49"/>
  <c r="T19" i="49"/>
  <c r="V19" i="49" s="1"/>
  <c r="Z19" i="49" s="1"/>
  <c r="T18" i="49"/>
  <c r="V18" i="49" s="1"/>
  <c r="Z18" i="49" s="1"/>
  <c r="T17" i="49"/>
  <c r="V17" i="49" s="1"/>
  <c r="Z17" i="49" s="1"/>
  <c r="V21" i="48" l="1"/>
  <c r="L41" i="50"/>
  <c r="H41" i="50"/>
  <c r="L80" i="50"/>
  <c r="V23" i="49"/>
  <c r="Z23" i="49" s="1"/>
  <c r="V20" i="49"/>
  <c r="Z20" i="49" s="1"/>
  <c r="M62" i="47" l="1"/>
  <c r="M55" i="47"/>
  <c r="I62" i="47"/>
  <c r="I55" i="47"/>
  <c r="L19" i="58"/>
  <c r="L29" i="58" s="1"/>
  <c r="L32" i="58" s="1"/>
  <c r="L8" i="58"/>
  <c r="H19" i="58"/>
  <c r="H29" i="58" s="1"/>
  <c r="H32" i="58" s="1"/>
  <c r="T32" i="49" l="1"/>
  <c r="V32" i="49" s="1"/>
  <c r="Z32" i="49" s="1"/>
  <c r="R38" i="49"/>
  <c r="N38" i="49" s="1"/>
  <c r="T38" i="49"/>
  <c r="V37" i="48"/>
  <c r="V35" i="48" s="1"/>
  <c r="X37" i="48" l="1"/>
  <c r="V38" i="49"/>
  <c r="Z38" i="49" s="1"/>
  <c r="X31" i="48" l="1"/>
  <c r="J28" i="50" l="1"/>
  <c r="F28" i="50"/>
  <c r="M8" i="47" l="1"/>
  <c r="T34" i="48"/>
  <c r="X34" i="48" s="1"/>
  <c r="X32" i="48"/>
  <c r="X30" i="48"/>
  <c r="N35" i="49"/>
  <c r="T35" i="49"/>
  <c r="T33" i="49"/>
  <c r="V33" i="49" s="1"/>
  <c r="Z33" i="49" s="1"/>
  <c r="T31" i="49"/>
  <c r="V31" i="49" s="1"/>
  <c r="Z31" i="49" s="1"/>
  <c r="V35" i="49" l="1"/>
  <c r="Z35" i="49" s="1"/>
  <c r="R41" i="49" l="1"/>
  <c r="K8" i="47"/>
  <c r="V25" i="48"/>
  <c r="P26" i="49"/>
  <c r="J8" i="58"/>
  <c r="J62" i="58" s="1"/>
  <c r="H55" i="50"/>
  <c r="H101" i="50" s="1"/>
  <c r="L55" i="50"/>
  <c r="L101" i="50" s="1"/>
  <c r="F19" i="58"/>
  <c r="F29" i="58" s="1"/>
  <c r="F32" i="58" s="1"/>
  <c r="F25" i="48"/>
  <c r="P36" i="49"/>
  <c r="T36" i="49" s="1"/>
  <c r="X36" i="49"/>
  <c r="X41" i="49" s="1"/>
  <c r="F118" i="50" s="1"/>
  <c r="A52" i="50"/>
  <c r="A98" i="50" s="1"/>
  <c r="J79" i="50"/>
  <c r="F79" i="50"/>
  <c r="H39" i="48"/>
  <c r="J111" i="50" s="1"/>
  <c r="H25" i="48"/>
  <c r="H41" i="49"/>
  <c r="F111" i="50" s="1"/>
  <c r="H26" i="49"/>
  <c r="L62" i="58"/>
  <c r="H62" i="58"/>
  <c r="F62" i="58"/>
  <c r="H117" i="50"/>
  <c r="H119" i="50" s="1"/>
  <c r="T28" i="49"/>
  <c r="V28" i="49" s="1"/>
  <c r="Z28" i="49" s="1"/>
  <c r="X26" i="49"/>
  <c r="L26" i="49"/>
  <c r="J26" i="49"/>
  <c r="F26" i="49"/>
  <c r="D26" i="49"/>
  <c r="L75" i="58"/>
  <c r="J75" i="58"/>
  <c r="H75" i="58"/>
  <c r="F75" i="58"/>
  <c r="R25" i="48"/>
  <c r="P25" i="48"/>
  <c r="N25" i="48"/>
  <c r="L25" i="48"/>
  <c r="J25" i="48"/>
  <c r="D25" i="48"/>
  <c r="G62" i="47"/>
  <c r="K62" i="47"/>
  <c r="F61" i="58"/>
  <c r="J19" i="58"/>
  <c r="J29" i="58" s="1"/>
  <c r="J32" i="58" s="1"/>
  <c r="K55" i="47"/>
  <c r="X33" i="48"/>
  <c r="R39" i="48"/>
  <c r="J114" i="50" s="1"/>
  <c r="J73" i="50"/>
  <c r="J39" i="48"/>
  <c r="J112" i="50" s="1"/>
  <c r="F39" i="48"/>
  <c r="D39" i="48"/>
  <c r="J41" i="49"/>
  <c r="F112" i="50" s="1"/>
  <c r="F41" i="49"/>
  <c r="L41" i="49"/>
  <c r="D41" i="49"/>
  <c r="L117" i="50"/>
  <c r="L119" i="50" s="1"/>
  <c r="G55" i="47"/>
  <c r="F81" i="58"/>
  <c r="H81" i="58"/>
  <c r="A56" i="58"/>
  <c r="A58" i="58"/>
  <c r="J81" i="58"/>
  <c r="L81" i="58"/>
  <c r="F73" i="50"/>
  <c r="T34" i="49"/>
  <c r="V34" i="49" s="1"/>
  <c r="Z34" i="49" s="1"/>
  <c r="J8" i="50"/>
  <c r="J55" i="50" s="1"/>
  <c r="J101" i="50" s="1"/>
  <c r="F55" i="50"/>
  <c r="F101" i="50" s="1"/>
  <c r="A4" i="48"/>
  <c r="J40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0" i="50"/>
  <c r="G19" i="56"/>
  <c r="G29" i="56" s="1"/>
  <c r="L60" i="56"/>
  <c r="M21" i="56"/>
  <c r="M7" i="56"/>
  <c r="P120" i="50"/>
  <c r="T120" i="50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20" i="50" l="1"/>
  <c r="L139" i="50" s="1"/>
  <c r="F80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0" i="50"/>
  <c r="P41" i="49"/>
  <c r="AB28" i="49"/>
  <c r="F41" i="50"/>
  <c r="J41" i="50"/>
  <c r="T41" i="49"/>
  <c r="F116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20" i="50"/>
  <c r="H139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14" i="50"/>
  <c r="AD41" i="49" s="1"/>
  <c r="M78" i="56"/>
  <c r="G58" i="56"/>
  <c r="V39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6" i="49" l="1"/>
  <c r="R26" i="49"/>
  <c r="F34" i="58" l="1"/>
  <c r="F64" i="58" l="1"/>
  <c r="F77" i="58" s="1"/>
  <c r="F80" i="58" s="1"/>
  <c r="F82" i="58" s="1"/>
  <c r="F37" i="58"/>
  <c r="G10" i="47"/>
  <c r="G23" i="47" s="1"/>
  <c r="G38" i="47" s="1"/>
  <c r="G41" i="47" s="1"/>
  <c r="G64" i="47" s="1"/>
  <c r="G66" i="47" s="1"/>
  <c r="G91" i="47" s="1"/>
  <c r="F42" i="58" l="1"/>
  <c r="F46" i="58"/>
  <c r="F39" i="58"/>
  <c r="N36" i="49"/>
  <c r="V36" i="49" l="1"/>
  <c r="N41" i="49"/>
  <c r="F115" i="50" l="1"/>
  <c r="F117" i="50" s="1"/>
  <c r="F119" i="50" s="1"/>
  <c r="F120" i="50" s="1"/>
  <c r="V41" i="49"/>
  <c r="Z36" i="49"/>
  <c r="Z41" i="49" s="1"/>
  <c r="AB41" i="49" l="1"/>
  <c r="N120" i="50"/>
  <c r="F139" i="50"/>
  <c r="AB42" i="49"/>
  <c r="AC41" i="49"/>
  <c r="H34" i="58"/>
  <c r="H37" i="58" l="1"/>
  <c r="H64" i="58"/>
  <c r="H77" i="58" s="1"/>
  <c r="H80" i="58" s="1"/>
  <c r="H82" i="58" s="1"/>
  <c r="I10" i="47"/>
  <c r="I23" i="47" s="1"/>
  <c r="I38" i="47" s="1"/>
  <c r="I41" i="47" s="1"/>
  <c r="I64" i="47" s="1"/>
  <c r="I66" i="47" s="1"/>
  <c r="I91" i="47" s="1"/>
  <c r="N21" i="49" l="1"/>
  <c r="H46" i="58"/>
  <c r="H39" i="58"/>
  <c r="H42" i="58"/>
  <c r="N26" i="49" l="1"/>
  <c r="AC26" i="49" s="1"/>
  <c r="V21" i="49"/>
  <c r="AB21" i="49"/>
  <c r="V26" i="49" l="1"/>
  <c r="Z21" i="49"/>
  <c r="Z26" i="49" s="1"/>
  <c r="AB26" i="49" s="1"/>
  <c r="J34" i="58"/>
  <c r="J64" i="58" s="1"/>
  <c r="J77" i="58" s="1"/>
  <c r="J80" i="58" s="1"/>
  <c r="J82" i="58" s="1"/>
  <c r="K10" i="47" l="1"/>
  <c r="K23" i="47" s="1"/>
  <c r="K38" i="47" s="1"/>
  <c r="K41" i="47" s="1"/>
  <c r="K64" i="47" s="1"/>
  <c r="K66" i="47" s="1"/>
  <c r="K91" i="47" s="1"/>
  <c r="J37" i="58"/>
  <c r="J42" i="58" l="1"/>
  <c r="J46" i="58"/>
  <c r="T35" i="48"/>
  <c r="J39" i="58"/>
  <c r="X35" i="48" l="1"/>
  <c r="X39" i="48" s="1"/>
  <c r="T39" i="48"/>
  <c r="J115" i="50" s="1"/>
  <c r="J117" i="50" s="1"/>
  <c r="J119" i="50" s="1"/>
  <c r="J120" i="50" s="1"/>
  <c r="Y35" i="48"/>
  <c r="R120" i="50" l="1"/>
  <c r="J139" i="50"/>
  <c r="Y39" i="48"/>
  <c r="L34" i="58"/>
  <c r="L64" i="58" s="1"/>
  <c r="L77" i="58" s="1"/>
  <c r="L80" i="58" s="1"/>
  <c r="L82" i="58" s="1"/>
  <c r="L37" i="58" l="1"/>
  <c r="M10" i="47"/>
  <c r="M23" i="47" s="1"/>
  <c r="M38" i="47" s="1"/>
  <c r="M41" i="47" s="1"/>
  <c r="M64" i="47" s="1"/>
  <c r="M66" i="47" s="1"/>
  <c r="M91" i="47" s="1"/>
  <c r="L46" i="58" l="1"/>
  <c r="T21" i="48"/>
  <c r="L39" i="58"/>
  <c r="L42" i="58"/>
  <c r="X21" i="48" l="1"/>
  <c r="X25" i="48" s="1"/>
  <c r="Y25" i="48" s="1"/>
  <c r="Y21" i="48"/>
  <c r="T25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<sst xmlns="http://schemas.openxmlformats.org/spreadsheetml/2006/main" count="537" uniqueCount="379">
  <si>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</si>
  <si>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</si>
  <si>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</si>
  <si>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</si>
  <si>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</si>
  <si>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</si>
  <si>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</si>
  <si>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</si>
  <si>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</si>
  <si>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</si>
  <si>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</si>
  <si>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</si>
  <si>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</si>
  <si>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</si>
  <si>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</si>
  <si>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</si>
  <si>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</si>
  <si>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</si>
  <si>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</si>
  <si>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</si>
  <si>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</si>
  <si>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</si>
  <si>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</si>
  <si>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</si>
  <si>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</si>
  <si>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</si>
  <si>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</si>
  <si>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</si>
  <si>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</si>
  <si>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</si>
  <si>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</si>
  <si>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</si>
  <si>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</si>
  <si>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</si>
  <si>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</si>
  <si>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</si>
  <si>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</si>
  <si>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</si>
  <si>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</si>
  <si>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</si>
  <si>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</si>
  <si>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</si>
  <si>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</si>
  <si>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</si>
  <si>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</si>
  <si>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</si>
  <si>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</si>
  <si>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</si>
  <si>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</si>
  <si>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</si>
  <si>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</si>
  <si>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</si>
  <si>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</si>
  <si>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</si>
  <si>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</si>
  <si>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</si>
  <si>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</si>
  <si>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</si>
  <si>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</si>
  <si>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</si>
  <si>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</si>
  <si>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</si>
  <si>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</si>
  <si>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</si>
  <si>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</si>
  <si>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</si>
  <si>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</si>
  <si>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</si>
  <si>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</si>
  <si>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</si>
  <si>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</si>
  <si>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</si>
  <si>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</si>
  <si>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</si>
  <si>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</si>
  <si>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</si>
  <si>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</si>
  <si>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</si>
  <si>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</si>
  <si>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</si>
  <si>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</si>
  <si>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</si>
  <si>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</si>
  <si>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</si>
  <si>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</si>
  <si>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</si>
  <si>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</si>
  <si>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</si>
  <si>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</si>
  <si>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</si>
  <si>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</si>
  <si>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</si>
  <si>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</si>
  <si>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</si>
  <si>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</si>
  <si>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</si>
  <si>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</si>
  <si>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</si>
  <si>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</si>
  <si>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</si>
  <si>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</si>
  <si>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</si>
  <si>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</si>
  <si>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</si>
  <si>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</si>
  <si>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</si>
  <si>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</si>
  <si>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</si>
  <si>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</si>
  <si>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</si>
  <si>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</si>
  <si>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</si>
  <si>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</si>
  <si>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</si>
  <si>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</si>
  <si>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</si>
  <si>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</si>
  <si>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</si>
  <si>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</si>
  <si>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</si>
  <si>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</si>
  <si>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</si>
  <si>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</si>
  <si>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</si>
  <si>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</si>
  <si>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</si>
  <si>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</si>
  <si>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</si>
  <si>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</si>
  <si>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</si>
  <si>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</si>
  <si>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</si>
  <si>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</si>
  <si>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</si>
  <si>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</si>
  <si>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</si>
  <si>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</si>
  <si>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</si>
  <si>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</si>
  <si>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</si>
  <si>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</si>
  <si>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</si>
  <si>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</si>
  <si>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</si>
  <si>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</si>
  <si>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</si>
  <si>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</si>
  <si>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</si>
  <si>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</si>
  <si>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</si>
  <si>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</si>
  <si>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</si>
  <si>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</si>
  <si>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</si>
  <si>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</si>
  <si>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</si>
  <si>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</si>
  <si>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</si>
  <si>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</si>
  <si>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</si>
  <si>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</si>
  <si>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</si>
  <si>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</si>
  <si>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</si>
  <si>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</si>
  <si>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</si>
  <si>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</si>
  <si>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</si>
  <si>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</si>
  <si>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</si>
  <si>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</si>
  <si>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</si>
  <si>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</si>
  <si>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</si>
  <si>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</si>
  <si>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</si>
  <si>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</si>
  <si>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</si>
  <si>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</si>
  <si>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</si>
  <si>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</si>
  <si>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</si>
  <si>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</si>
  <si>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</si>
  <si>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</si>
  <si>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</si>
  <si>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</si>
  <si>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</si>
  <si>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</si>
  <si>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</si>
  <si>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</si>
  <si>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</si>
  <si>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</si>
  <si>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</si>
  <si>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</si>
  <si>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</si>
  <si>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</si>
  <si>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</si>
  <si>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</si>
  <si>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</si>
  <si>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</si>
  <si>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</si>
  <si>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</si>
  <si>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</si>
  <si>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</si>
  <si>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</si>
  <si>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</si>
  <si>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</si>
  <si>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</si>
  <si>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</si>
  <si>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</si>
  <si>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</si>
  <si>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</si>
  <si>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</si>
  <si>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</si>
  <si>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</si>
  <si>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</si>
  <si>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</si>
  <si>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</si>
  <si>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</si>
  <si>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</si>
  <si>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</si>
  <si>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</si>
  <si>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</si>
  <si>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</si>
  <si>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</si>
  <si>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</si>
  <si>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</si>
  <si>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</si>
  <si>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</si>
  <si>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</si>
  <si>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</si>
  <si>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</si>
  <si>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</si>
  <si>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</si>
  <si>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</si>
  <si>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</si>
  <si>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</si>
  <si>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</si>
  <si>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</si>
  <si>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</si>
  <si>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</si>
  <si>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</si>
  <si>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</si>
  <si>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</si>
  <si>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</si>
  <si>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</si>
  <si>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</si>
  <si>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</si>
  <si>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</si>
  <si>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</si>
  <si>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</si>
  <si>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</si>
  <si>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</si>
  <si>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</si>
  <si>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</si>
  <si>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</si>
  <si>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</si>
  <si>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</si>
  <si>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</si>
  <si>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</si>
  <si>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</si>
  <si>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</si>
  <si>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</si>
  <si>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</si>
  <si>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</si>
  <si>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</si>
  <si>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</si>
  <si>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</si>
  <si>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</si>
  <si>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</si>
  <si>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</si>
  <si>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</si>
  <si>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</si>
  <si>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</si>
  <si>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</si>
  <si>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</si>
  <si>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</si>
  <si>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</si>
  <si>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</si>
  <si>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</si>
  <si>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</si>
  <si>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</si>
  <si>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</si>
  <si>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</si>
  <si>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</si>
  <si>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</si>
  <si>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</si>
  <si>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</si>
  <si>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</si>
  <si>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</si>
  <si>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</si>
  <si>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</si>
  <si>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</si>
  <si>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</si>
  <si>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</si>
  <si>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</si>
  <si>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</si>
  <si>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</si>
  <si>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</si>
  <si>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</si>
  <si>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</si>
  <si>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</si>
  <si>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</si>
  <si>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Short-term loan from financial institution,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</si>
  <si>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</si>
  <si>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</si>
  <si>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</si>
  <si>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</si>
  <si>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</si>
  <si>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</si>
  <si>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Share subscriptions received in advance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</si>
  <si>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</si>
  <si>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</si>
  <si>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</si>
  <si>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</si>
  <si>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</si>
  <si>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</si>
  <si>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Other current financial assets</t>
  </si>
  <si>
    <t>Other non-current financial assets</t>
  </si>
  <si>
    <t>Property and equipment - net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</si>
  <si>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</si>
  <si>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</si>
  <si>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</si>
  <si>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</si>
  <si>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</si>
  <si>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12 , 13</t>
  </si>
  <si>
    <t>8.4</t>
  </si>
  <si>
    <t>Other non-current financial assets, decrease(increase)</t>
  </si>
  <si>
    <t>Purchase of property and equipments</t>
  </si>
  <si>
    <t xml:space="preserve">   Ordinary shares increased - new issue</t>
  </si>
  <si>
    <t>Related  parties</t>
  </si>
  <si>
    <t>Reversal of allowance for doubtful accounts</t>
  </si>
  <si>
    <t>Loss on reduced value of inventory</t>
  </si>
  <si>
    <t>2.4</t>
  </si>
  <si>
    <t>6</t>
  </si>
  <si>
    <t>Income from digital assets inventory - net</t>
  </si>
  <si>
    <t>December 31, 2022</t>
  </si>
  <si>
    <t>Beginning balance as at January 1, 2022</t>
  </si>
  <si>
    <t xml:space="preserve">  Ordinary shares increased - stock dividend</t>
  </si>
  <si>
    <t xml:space="preserve">   Ordinary shares increased - stock dividend</t>
  </si>
  <si>
    <t>12,13,14</t>
  </si>
  <si>
    <t>Other accounts payable - related parties</t>
  </si>
  <si>
    <t>Dividends paid to non-controlling interests</t>
  </si>
  <si>
    <t>Profit (loss) before financial costs and income tax</t>
  </si>
  <si>
    <t>Digital asset inventory - net</t>
  </si>
  <si>
    <t>AS AT MARCH 31, 2023</t>
  </si>
  <si>
    <t>March 31, 2023</t>
  </si>
  <si>
    <t>The accompanying interim notes to financial statements are an integral part of these interim financial statements.</t>
  </si>
  <si>
    <t xml:space="preserve">- Ordinary share 13,098,802,641  shares </t>
  </si>
  <si>
    <t xml:space="preserve">- Ordinary share 9,315,208,558  shares </t>
  </si>
  <si>
    <t>Right of used assets - net</t>
  </si>
  <si>
    <t>FOR  THE THREE MONTH PERIOD ENDED MARCH 31, 2023</t>
  </si>
  <si>
    <t>Ending balance as at March 31, 2022</t>
  </si>
  <si>
    <t>Beginning balance as at January 1, 2023</t>
  </si>
  <si>
    <t>Ending balance as at March 31, 2023</t>
  </si>
  <si>
    <t>Ending balance as at  March 31, 2022</t>
  </si>
  <si>
    <t>Ending balance as at  March 31, 2023</t>
  </si>
  <si>
    <t>For the three-month period ended March 31</t>
  </si>
  <si>
    <t>Loss on sales from measurement of other current financial assets</t>
  </si>
  <si>
    <t>Decrease in account receivable - related parties</t>
  </si>
  <si>
    <t>Increase in loan to non-related parties</t>
  </si>
  <si>
    <t>Reduced value of inventory recovery</t>
  </si>
  <si>
    <t>Loss on reduced value of inventory (reversal)</t>
  </si>
  <si>
    <t>7</t>
  </si>
  <si>
    <t>Increase (decrease) in Digital asset inventory</t>
  </si>
  <si>
    <t>Increase (decrease) in Other current receivable - non-related parties</t>
  </si>
  <si>
    <t xml:space="preserve">   Total comprehensive income (loss) for the period</t>
  </si>
  <si>
    <t>Total comprehensive income (loss) for the period</t>
  </si>
  <si>
    <t>Profit (loss) for the period</t>
  </si>
  <si>
    <t>(Unaudited/</t>
  </si>
  <si>
    <t>but Reviewed)</t>
  </si>
  <si>
    <t>(Audited)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</si>
  <si>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</si>
  <si>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</si>
  <si>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</si>
  <si>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</si>
  <si>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>Lease liabilities - net</t>
  </si>
  <si>
    <t>Current portion of lease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</si>
</sst>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44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Alignment="1">
      <alignment horizontal="center"/>
    </xf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0" fontId="2" fillId="0" borderId="3" xfId="0" quotePrefix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7" fontId="7" fillId="0" borderId="0" xfId="0" applyNumberFormat="1" applyFont="1"/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2" fillId="0" borderId="0" xfId="0" applyNumberFormat="1" applyFont="1"/>
    <xf numFmtId="43" fontId="3" fillId="0" borderId="0" xfId="0" applyNumberFormat="1" applyFont="1"/>
    <xf numFmtId="0" fontId="26" fillId="0" borderId="0" xfId="0" applyFont="1" applyAlignment="1">
      <alignment horizontal="center"/>
    </xf>
    <xf numFmtId="43" fontId="3" fillId="0" borderId="5" xfId="1" applyFont="1" applyFill="1" applyBorder="1"/>
    <xf numFmtId="43" fontId="3" fillId="0" borderId="0" xfId="0" applyNumberFormat="1" applyFont="1" applyAlignment="1">
      <alignment horizontal="right"/>
    </xf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center"/>
    </xf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0" fontId="2" fillId="0" borderId="0" xfId="0" quotePrefix="1" applyFont="1" applyAlignment="1">
      <alignment horizontal="center"/>
    </xf>
    <xf numFmtId="165" fontId="3" fillId="0" borderId="15" xfId="1" applyNumberFormat="1" applyFont="1" applyFill="1" applyBorder="1"/>
    <xf numFmtId="0" fontId="15" fillId="0" borderId="5" xfId="0" applyFont="1" applyBorder="1" applyAlignment="1">
      <alignment horizontal="center"/>
    </xf>
    <xf numFmtId="43" fontId="3" fillId="0" borderId="14" xfId="0" applyNumberFormat="1" applyFont="1" applyBorder="1" applyAlignment="1">
      <alignment horizontal="right"/>
    </xf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25" fillId="0" borderId="0" xfId="0" applyNumberFormat="1" applyFont="1"/>
    <xf numFmtId="166" fontId="28" fillId="0" borderId="0" xfId="0" applyNumberFormat="1" applyFont="1"/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17" fillId="0" borderId="0" xfId="0" applyNumberFormat="1" applyFont="1" applyAlignment="1">
      <alignment horizontal="right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3" fillId="0" borderId="0" xfId="9" applyNumberFormat="1" applyFont="1"/>
    <xf numFmtId="43" fontId="3" fillId="0" borderId="0" xfId="1" applyFont="1"/>
    <xf numFmtId="43" fontId="3" fillId="0" borderId="4" xfId="0" applyNumberFormat="1" applyFont="1" applyBorder="1" applyAlignment="1">
      <alignment horizontal="right"/>
    </xf>
    <xf numFmtId="166" fontId="27" fillId="0" borderId="0" xfId="0" applyNumberFormat="1" applyFont="1"/>
    <xf numFmtId="2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9" fillId="0" borderId="0" xfId="0" applyFont="1"/>
    <xf numFmtId="0" fontId="7" fillId="0" borderId="0" xfId="0" applyFont="1"/>
    <xf numFmtId="0" fontId="16" fillId="0" borderId="0" xfId="0" applyFont="1" applyAlignment="1">
      <alignment horizontal="center"/>
    </xf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39"/>
  <sheetViews>
    <sheetView view="pageBreakPreview" topLeftCell="A2" zoomScale="130" zoomScaleNormal="100" zoomScaleSheetLayoutView="130" workbookViewId="0">
      <selection activeCell="A7" sqref="A7"/>
    </sheetView>
  </sheetViews>
  <sheetFormatPr defaultColWidth="9.09765625" defaultRowHeight="17.5"/>
  <cols>
    <col min="1" max="2" width="2.69921875" style="3" customWidth="1"/>
    <col min="3" max="3" width="33.8984375" style="3" customWidth="1"/>
    <col min="4" max="4" width="5.3984375" style="6" customWidth="1"/>
    <col min="5" max="5" width="0.8984375" style="6" customWidth="1"/>
    <col min="6" max="6" width="12.69921875" style="6" customWidth="1"/>
    <col min="7" max="7" width="0.69921875" style="6" customWidth="1"/>
    <col min="8" max="8" width="13.3984375" style="6" customWidth="1"/>
    <col min="9" max="9" width="0.8984375" style="3" customWidth="1"/>
    <col min="10" max="10" width="12.8984375" style="5" customWidth="1"/>
    <col min="11" max="11" width="0.69921875" style="5" customWidth="1"/>
    <col min="12" max="12" width="13.59765625" style="5" customWidth="1"/>
    <col min="13" max="13" width="2.69921875" style="3" customWidth="1"/>
    <col min="14" max="14" width="15.69921875" style="3" hidden="1" customWidth="1"/>
    <col min="15" max="15" width="2.69921875" style="3" hidden="1" customWidth="1"/>
    <col min="16" max="16" width="13.8984375" style="3" hidden="1" customWidth="1"/>
    <col min="17" max="17" width="2.69921875" style="3" hidden="1" customWidth="1"/>
    <col min="18" max="18" width="14.59765625" style="3" hidden="1" customWidth="1"/>
    <col min="19" max="19" width="5" style="3" hidden="1" customWidth="1"/>
    <col min="20" max="20" width="0" style="3" hidden="1" customWidth="1"/>
    <col min="21" max="16384" width="9.09765625" style="3"/>
  </cols>
  <sheetData>
    <row r="1" spans="1:13" hidden="1"/>
    <row r="3" spans="1:13">
      <c r="A3" s="225" t="s">
        <v>131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6"/>
    </row>
    <row r="4" spans="1:13">
      <c r="A4" s="222" t="s">
        <v>240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3" s="27" customFormat="1">
      <c r="A5" s="222" t="s">
        <v>346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</row>
    <row r="6" spans="1:13">
      <c r="A6" s="13"/>
      <c r="B6" s="13"/>
      <c r="C6" s="13"/>
      <c r="F6" s="223" t="s">
        <v>132</v>
      </c>
      <c r="G6" s="223"/>
      <c r="H6" s="223"/>
      <c r="I6" s="223"/>
      <c r="J6" s="223"/>
      <c r="K6" s="223"/>
      <c r="L6" s="223"/>
    </row>
    <row r="7" spans="1:13" ht="19">
      <c r="A7" s="9"/>
      <c r="B7" s="9"/>
      <c r="C7" s="9"/>
      <c r="F7" s="220" t="s">
        <v>205</v>
      </c>
      <c r="G7" s="220"/>
      <c r="H7" s="220"/>
      <c r="I7" s="82"/>
      <c r="J7" s="220" t="s">
        <v>206</v>
      </c>
      <c r="K7" s="220"/>
      <c r="L7" s="220"/>
    </row>
    <row r="8" spans="1:13">
      <c r="A8" s="9"/>
      <c r="B8" s="9"/>
      <c r="C8" s="9"/>
      <c r="D8" s="130" t="s">
        <v>133</v>
      </c>
      <c r="F8" s="152" t="s">
        <v>347</v>
      </c>
      <c r="G8" s="188"/>
      <c r="H8" s="152" t="s">
        <v>337</v>
      </c>
      <c r="J8" s="131" t="str">
        <f>F8</f>
        <v>March 31, 2023</v>
      </c>
      <c r="K8" s="6"/>
      <c r="L8" s="131" t="str">
        <f>H8</f>
        <v>December 31, 2022</v>
      </c>
    </row>
    <row r="9" spans="1:13" ht="18.649999999999999" customHeight="1">
      <c r="A9" s="9"/>
      <c r="B9" s="9"/>
      <c r="C9" s="9"/>
      <c r="F9" s="188" t="s">
        <v>370</v>
      </c>
      <c r="G9" s="188"/>
      <c r="H9" s="188" t="s">
        <v>372</v>
      </c>
      <c r="J9" s="188" t="s">
        <v>370</v>
      </c>
      <c r="K9" s="188"/>
      <c r="L9" s="188" t="s">
        <v>372</v>
      </c>
    </row>
    <row r="10" spans="1:13" s="37" customFormat="1" ht="18.649999999999999" customHeight="1">
      <c r="A10" s="6"/>
      <c r="B10" s="6"/>
      <c r="C10" s="6"/>
      <c r="D10" s="6"/>
      <c r="E10" s="6"/>
      <c r="F10" s="74" t="s">
        <v>371</v>
      </c>
      <c r="G10" s="133"/>
      <c r="H10" s="74"/>
      <c r="I10" s="9"/>
      <c r="J10" s="74" t="s">
        <v>371</v>
      </c>
      <c r="K10" s="133"/>
      <c r="L10" s="74"/>
    </row>
    <row r="11" spans="1:13" ht="18" customHeight="1">
      <c r="A11" s="224" t="s">
        <v>136</v>
      </c>
      <c r="B11" s="224"/>
      <c r="C11" s="224"/>
      <c r="D11" s="13"/>
      <c r="E11" s="13"/>
      <c r="F11" s="20"/>
      <c r="G11" s="20"/>
      <c r="H11" s="20"/>
      <c r="J11" s="3"/>
      <c r="K11" s="3"/>
      <c r="L11" s="3"/>
    </row>
    <row r="12" spans="1:13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3">
      <c r="A13" s="9"/>
      <c r="B13" s="9" t="s">
        <v>135</v>
      </c>
      <c r="C13" s="9"/>
      <c r="D13" s="13">
        <v>3</v>
      </c>
      <c r="E13" s="13"/>
      <c r="F13" s="173">
        <v>170706210.88</v>
      </c>
      <c r="G13" s="173"/>
      <c r="H13" s="173">
        <v>193802583.52000001</v>
      </c>
      <c r="I13" s="167"/>
      <c r="J13" s="14">
        <v>32916079.920000002</v>
      </c>
      <c r="K13" s="14"/>
      <c r="L13" s="14">
        <v>58130055.630000003</v>
      </c>
    </row>
    <row r="14" spans="1:13">
      <c r="A14" s="9"/>
      <c r="B14" s="9" t="s">
        <v>214</v>
      </c>
      <c r="C14" s="9"/>
      <c r="D14" s="13"/>
      <c r="E14" s="13"/>
      <c r="F14" s="173"/>
      <c r="G14" s="173"/>
      <c r="H14" s="173"/>
      <c r="I14" s="167"/>
      <c r="J14" s="14"/>
      <c r="K14" s="14"/>
      <c r="L14" s="14"/>
    </row>
    <row r="15" spans="1:13">
      <c r="A15" s="9"/>
      <c r="B15" s="9"/>
      <c r="C15" s="9" t="s">
        <v>189</v>
      </c>
      <c r="D15" s="13">
        <v>4</v>
      </c>
      <c r="E15" s="13"/>
      <c r="F15" s="173">
        <v>84746171.489999995</v>
      </c>
      <c r="G15" s="173"/>
      <c r="H15" s="173">
        <v>128829588.42</v>
      </c>
      <c r="I15" s="167"/>
      <c r="J15" s="14">
        <v>44178292.859999999</v>
      </c>
      <c r="K15" s="14"/>
      <c r="L15" s="14">
        <v>64178292.859999999</v>
      </c>
    </row>
    <row r="16" spans="1:13">
      <c r="A16" s="9"/>
      <c r="B16" s="9"/>
      <c r="C16" s="9" t="s">
        <v>190</v>
      </c>
      <c r="D16" s="13">
        <v>2.2000000000000002</v>
      </c>
      <c r="E16" s="13"/>
      <c r="F16" s="173">
        <v>73981.11</v>
      </c>
      <c r="G16" s="173"/>
      <c r="H16" s="173">
        <v>0</v>
      </c>
      <c r="I16" s="167"/>
      <c r="J16" s="14">
        <v>73981.11</v>
      </c>
      <c r="K16" s="14"/>
      <c r="L16" s="14">
        <v>5875000</v>
      </c>
    </row>
    <row r="17" spans="1:12">
      <c r="A17" s="9"/>
      <c r="B17" s="9" t="s">
        <v>252</v>
      </c>
      <c r="C17" s="9"/>
      <c r="D17" s="13"/>
      <c r="E17" s="13"/>
      <c r="F17" s="173"/>
      <c r="G17" s="173"/>
      <c r="H17" s="173"/>
      <c r="I17" s="167"/>
      <c r="J17" s="14"/>
      <c r="K17" s="14"/>
      <c r="L17" s="14"/>
    </row>
    <row r="18" spans="1:12">
      <c r="A18" s="9"/>
      <c r="B18" s="9"/>
      <c r="C18" s="9" t="s">
        <v>189</v>
      </c>
      <c r="D18" s="13">
        <v>5</v>
      </c>
      <c r="E18" s="13"/>
      <c r="F18" s="173">
        <v>337499280.81999999</v>
      </c>
      <c r="G18" s="173"/>
      <c r="H18" s="173">
        <v>302053612.75</v>
      </c>
      <c r="I18" s="167"/>
      <c r="J18" s="14">
        <v>10585037.58</v>
      </c>
      <c r="K18" s="14"/>
      <c r="L18" s="14">
        <v>5218679.47</v>
      </c>
    </row>
    <row r="19" spans="1:12">
      <c r="A19" s="9"/>
      <c r="B19" s="9"/>
      <c r="C19" s="9" t="s">
        <v>190</v>
      </c>
      <c r="D19" s="13">
        <v>2.2999999999999998</v>
      </c>
      <c r="E19" s="13"/>
      <c r="F19" s="173">
        <v>0</v>
      </c>
      <c r="G19" s="173"/>
      <c r="H19" s="173">
        <v>0</v>
      </c>
      <c r="I19" s="167"/>
      <c r="J19" s="14">
        <v>7145579.4000000004</v>
      </c>
      <c r="K19" s="14"/>
      <c r="L19" s="14">
        <v>0</v>
      </c>
    </row>
    <row r="20" spans="1:12">
      <c r="A20" s="9"/>
      <c r="B20" s="9" t="s">
        <v>345</v>
      </c>
      <c r="C20" s="9"/>
      <c r="D20" s="13">
        <v>6</v>
      </c>
      <c r="E20" s="13"/>
      <c r="F20" s="173">
        <v>526810876.69</v>
      </c>
      <c r="G20" s="173"/>
      <c r="H20" s="173">
        <v>389873419.69</v>
      </c>
      <c r="I20" s="167"/>
      <c r="J20" s="14">
        <v>364833.99</v>
      </c>
      <c r="K20" s="14"/>
      <c r="L20" s="14">
        <v>291640.82</v>
      </c>
    </row>
    <row r="21" spans="1:12">
      <c r="A21" s="9"/>
      <c r="B21" s="9" t="s">
        <v>202</v>
      </c>
      <c r="C21" s="9"/>
      <c r="D21" s="13"/>
      <c r="E21" s="13"/>
      <c r="F21" s="173"/>
      <c r="G21" s="173"/>
      <c r="H21" s="173"/>
      <c r="I21" s="14"/>
      <c r="J21" s="14"/>
      <c r="K21" s="14"/>
      <c r="L21" s="14"/>
    </row>
    <row r="22" spans="1:12">
      <c r="A22" s="9"/>
      <c r="B22" s="9"/>
      <c r="C22" s="9" t="s">
        <v>189</v>
      </c>
      <c r="D22" s="13">
        <v>7</v>
      </c>
      <c r="E22" s="13"/>
      <c r="F22" s="173">
        <v>243000000</v>
      </c>
      <c r="G22" s="173"/>
      <c r="H22" s="173">
        <v>173000000</v>
      </c>
      <c r="I22" s="14"/>
      <c r="J22" s="173">
        <v>243000000</v>
      </c>
      <c r="K22" s="173"/>
      <c r="L22" s="173">
        <v>173000000</v>
      </c>
    </row>
    <row r="23" spans="1:12">
      <c r="A23" s="9"/>
      <c r="B23" s="9"/>
      <c r="C23" s="9" t="s">
        <v>190</v>
      </c>
      <c r="D23" s="13">
        <v>2.4</v>
      </c>
      <c r="E23" s="13"/>
      <c r="F23" s="173">
        <v>0</v>
      </c>
      <c r="G23" s="173"/>
      <c r="H23" s="173">
        <v>0</v>
      </c>
      <c r="I23" s="14"/>
      <c r="J23" s="170">
        <v>1984488769.5</v>
      </c>
      <c r="K23" s="170"/>
      <c r="L23" s="170">
        <v>2005852850.3</v>
      </c>
    </row>
    <row r="24" spans="1:12">
      <c r="A24" s="9"/>
      <c r="B24" s="9" t="s">
        <v>318</v>
      </c>
      <c r="C24" s="9"/>
      <c r="D24" s="13">
        <v>8</v>
      </c>
      <c r="E24" s="13"/>
      <c r="F24" s="173">
        <v>1104737821.3800001</v>
      </c>
      <c r="G24" s="173"/>
      <c r="H24" s="173">
        <v>1135405645.74</v>
      </c>
      <c r="I24" s="167"/>
      <c r="J24" s="14">
        <v>119657970.53</v>
      </c>
      <c r="K24" s="14"/>
      <c r="L24" s="14">
        <v>108176650.72</v>
      </c>
    </row>
    <row r="25" spans="1:12">
      <c r="A25" s="9"/>
      <c r="B25" s="9" t="s">
        <v>137</v>
      </c>
      <c r="C25" s="9"/>
      <c r="D25" s="13"/>
      <c r="E25" s="13"/>
      <c r="F25" s="173"/>
      <c r="G25" s="173"/>
      <c r="H25" s="173"/>
      <c r="I25" s="167"/>
      <c r="J25" s="14"/>
      <c r="K25" s="14"/>
      <c r="L25" s="14"/>
    </row>
    <row r="26" spans="1:12">
      <c r="A26" s="9"/>
      <c r="B26" s="9"/>
      <c r="C26" s="9" t="s">
        <v>248</v>
      </c>
      <c r="D26" s="13"/>
      <c r="E26" s="13"/>
      <c r="F26" s="173">
        <v>21571710.149999999</v>
      </c>
      <c r="G26" s="173"/>
      <c r="H26" s="173">
        <v>23349822.59</v>
      </c>
      <c r="I26" s="167"/>
      <c r="J26" s="14">
        <v>16190272.1</v>
      </c>
      <c r="K26" s="14"/>
      <c r="L26" s="14">
        <v>17967750.239999998</v>
      </c>
    </row>
    <row r="27" spans="1:12">
      <c r="A27" s="9"/>
      <c r="B27" s="9"/>
      <c r="C27" s="9" t="s">
        <v>141</v>
      </c>
      <c r="D27" s="13"/>
      <c r="E27" s="13"/>
      <c r="F27" s="170">
        <v>1952532</v>
      </c>
      <c r="G27" s="170"/>
      <c r="H27" s="170">
        <v>1424563.16</v>
      </c>
      <c r="I27" s="167"/>
      <c r="J27" s="14">
        <v>1031867.12</v>
      </c>
      <c r="K27" s="14"/>
      <c r="L27" s="14">
        <v>505747.6</v>
      </c>
    </row>
    <row r="28" spans="1:12">
      <c r="A28" s="9"/>
      <c r="B28" s="9"/>
      <c r="C28" s="9" t="s">
        <v>143</v>
      </c>
      <c r="D28" s="13"/>
      <c r="E28" s="13"/>
      <c r="F28" s="172">
        <f>SUM(F13:F27)</f>
        <v>2491098584.52</v>
      </c>
      <c r="G28" s="22"/>
      <c r="H28" s="172">
        <f>SUM(H13:H27)</f>
        <v>2347739235.8699999</v>
      </c>
      <c r="I28" s="167"/>
      <c r="J28" s="172">
        <f>SUM(J13:J27)</f>
        <v>2459632684.1100001</v>
      </c>
      <c r="K28" s="22"/>
      <c r="L28" s="172">
        <f>SUM(L13:L27)</f>
        <v>2439196667.6399994</v>
      </c>
    </row>
    <row r="29" spans="1:12">
      <c r="A29" s="9"/>
      <c r="B29" s="9"/>
      <c r="C29" s="9"/>
      <c r="D29" s="13"/>
      <c r="E29" s="13"/>
      <c r="F29" s="170"/>
      <c r="G29" s="170"/>
      <c r="H29" s="170"/>
      <c r="I29" s="167"/>
      <c r="J29" s="14"/>
      <c r="K29" s="14"/>
      <c r="L29" s="14"/>
    </row>
    <row r="30" spans="1:12">
      <c r="A30" s="9" t="s">
        <v>139</v>
      </c>
      <c r="B30" s="9"/>
      <c r="C30" s="9"/>
      <c r="D30" s="13"/>
      <c r="E30" s="13"/>
      <c r="F30" s="170"/>
      <c r="G30" s="170"/>
      <c r="H30" s="170"/>
      <c r="I30" s="167"/>
      <c r="J30" s="14"/>
      <c r="K30" s="14"/>
      <c r="L30" s="14"/>
    </row>
    <row r="31" spans="1:12" hidden="1">
      <c r="A31" s="9"/>
      <c r="B31" s="9" t="s">
        <v>210</v>
      </c>
      <c r="C31" s="9"/>
      <c r="D31" s="13"/>
      <c r="E31" s="13"/>
      <c r="F31" s="170"/>
      <c r="G31" s="170"/>
      <c r="H31" s="170"/>
      <c r="I31" s="167"/>
      <c r="J31" s="170"/>
      <c r="K31" s="170"/>
      <c r="L31" s="170"/>
    </row>
    <row r="32" spans="1:12">
      <c r="A32" s="9"/>
      <c r="B32" s="132" t="s">
        <v>191</v>
      </c>
      <c r="C32" s="9"/>
      <c r="D32" s="13">
        <v>9</v>
      </c>
      <c r="E32" s="13"/>
      <c r="F32" s="173">
        <v>0</v>
      </c>
      <c r="G32" s="173"/>
      <c r="H32" s="173">
        <v>0</v>
      </c>
      <c r="I32" s="167"/>
      <c r="J32" s="14">
        <v>221044600</v>
      </c>
      <c r="K32" s="14"/>
      <c r="L32" s="14">
        <v>221044600</v>
      </c>
    </row>
    <row r="33" spans="1:12">
      <c r="A33" s="9"/>
      <c r="B33" s="132" t="s">
        <v>319</v>
      </c>
      <c r="C33" s="9"/>
      <c r="D33" s="13">
        <v>10</v>
      </c>
      <c r="E33" s="13"/>
      <c r="F33" s="173">
        <v>205000578.24000001</v>
      </c>
      <c r="G33" s="173"/>
      <c r="H33" s="173">
        <v>205000586.03</v>
      </c>
      <c r="I33" s="167"/>
      <c r="J33" s="14">
        <v>205000000</v>
      </c>
      <c r="K33" s="14"/>
      <c r="L33" s="14">
        <v>205000000</v>
      </c>
    </row>
    <row r="34" spans="1:12">
      <c r="A34" s="9"/>
      <c r="B34" s="132" t="s">
        <v>295</v>
      </c>
      <c r="C34" s="9"/>
      <c r="D34" s="13">
        <v>11</v>
      </c>
      <c r="E34" s="13"/>
      <c r="F34" s="173">
        <v>391500000</v>
      </c>
      <c r="G34" s="173"/>
      <c r="H34" s="173">
        <v>391500000</v>
      </c>
      <c r="I34" s="167"/>
      <c r="J34" s="14">
        <v>391500000</v>
      </c>
      <c r="K34" s="14"/>
      <c r="L34" s="14">
        <v>391500000</v>
      </c>
    </row>
    <row r="35" spans="1:12">
      <c r="A35" s="9"/>
      <c r="B35" s="132" t="s">
        <v>284</v>
      </c>
      <c r="C35" s="9"/>
      <c r="D35" s="13">
        <v>12</v>
      </c>
      <c r="E35" s="13"/>
      <c r="F35" s="170">
        <v>5501618.5599999996</v>
      </c>
      <c r="G35" s="170"/>
      <c r="H35" s="170">
        <v>5610155.5099999998</v>
      </c>
      <c r="I35" s="167"/>
      <c r="J35" s="14">
        <v>5501618.5599999996</v>
      </c>
      <c r="K35" s="14"/>
      <c r="L35" s="14">
        <v>5610155.5099999998</v>
      </c>
    </row>
    <row r="36" spans="1:12">
      <c r="A36" s="9"/>
      <c r="B36" s="132" t="s">
        <v>320</v>
      </c>
      <c r="C36" s="9"/>
      <c r="D36" s="13">
        <v>13</v>
      </c>
      <c r="E36" s="13"/>
      <c r="F36" s="170">
        <v>65696552.229999997</v>
      </c>
      <c r="G36" s="170"/>
      <c r="H36" s="170">
        <v>71648554.980000004</v>
      </c>
      <c r="I36" s="167"/>
      <c r="J36" s="14">
        <v>30841668.530000001</v>
      </c>
      <c r="K36" s="14"/>
      <c r="L36" s="14">
        <v>32293497.359999999</v>
      </c>
    </row>
    <row r="37" spans="1:12">
      <c r="A37" s="9"/>
      <c r="B37" s="132" t="s">
        <v>351</v>
      </c>
      <c r="C37" s="9"/>
      <c r="D37" s="13">
        <v>14</v>
      </c>
      <c r="E37" s="13"/>
      <c r="F37" s="170">
        <v>1851732.98</v>
      </c>
      <c r="G37" s="170"/>
      <c r="H37" s="170">
        <v>2047109.25</v>
      </c>
      <c r="I37" s="167"/>
      <c r="J37" s="14">
        <v>1851732.98</v>
      </c>
      <c r="K37" s="14"/>
      <c r="L37" s="14">
        <v>2047109.25</v>
      </c>
    </row>
    <row r="38" spans="1:12">
      <c r="A38" s="9"/>
      <c r="B38" s="132" t="s">
        <v>264</v>
      </c>
      <c r="C38" s="9"/>
      <c r="D38" s="13">
        <v>15.3</v>
      </c>
      <c r="E38" s="13"/>
      <c r="F38" s="170">
        <v>95942091.420000002</v>
      </c>
      <c r="G38" s="170"/>
      <c r="H38" s="170">
        <v>92643273.340000004</v>
      </c>
      <c r="I38" s="167"/>
      <c r="J38" s="14">
        <v>87997716.950000003</v>
      </c>
      <c r="K38" s="14"/>
      <c r="L38" s="14">
        <v>86876274.810000002</v>
      </c>
    </row>
    <row r="39" spans="1:12">
      <c r="A39" s="9"/>
      <c r="B39" s="132" t="s">
        <v>140</v>
      </c>
      <c r="C39" s="132"/>
      <c r="D39" s="13"/>
      <c r="E39" s="13"/>
      <c r="F39" s="170">
        <v>799267.94</v>
      </c>
      <c r="G39" s="170"/>
      <c r="H39" s="170">
        <v>1079641.76</v>
      </c>
      <c r="I39" s="167"/>
      <c r="J39" s="14">
        <v>427410</v>
      </c>
      <c r="K39" s="14"/>
      <c r="L39" s="14">
        <v>427410</v>
      </c>
    </row>
    <row r="40" spans="1:12">
      <c r="A40" s="9"/>
      <c r="B40" s="9"/>
      <c r="C40" s="132" t="s">
        <v>142</v>
      </c>
      <c r="D40" s="13"/>
      <c r="E40" s="13"/>
      <c r="F40" s="172">
        <f>SUM(F31:F39)</f>
        <v>766291841.37</v>
      </c>
      <c r="G40" s="22"/>
      <c r="H40" s="172">
        <f>SUM(H31:H39)</f>
        <v>769529320.87</v>
      </c>
      <c r="I40" s="167"/>
      <c r="J40" s="172">
        <f>SUM(J31:J39)</f>
        <v>944164747.01999998</v>
      </c>
      <c r="K40" s="22"/>
      <c r="L40" s="172">
        <f>SUM(L31:L39)</f>
        <v>944799046.93000007</v>
      </c>
    </row>
    <row r="41" spans="1:12" ht="18" thickBot="1">
      <c r="A41" s="132" t="s">
        <v>144</v>
      </c>
      <c r="B41" s="9"/>
      <c r="C41" s="9"/>
      <c r="D41" s="13"/>
      <c r="E41" s="13"/>
      <c r="F41" s="174">
        <f>+F40+F28</f>
        <v>3257390425.8899999</v>
      </c>
      <c r="G41" s="22"/>
      <c r="H41" s="174">
        <f>+H40+H28</f>
        <v>3117268556.7399998</v>
      </c>
      <c r="I41" s="167"/>
      <c r="J41" s="174">
        <f>+J40+J28</f>
        <v>3403797431.1300001</v>
      </c>
      <c r="K41" s="22"/>
      <c r="L41" s="174">
        <f>+L40+L28</f>
        <v>3383995714.5699997</v>
      </c>
    </row>
    <row r="42" spans="1:12" ht="18" thickTop="1">
      <c r="A42" s="9"/>
      <c r="B42" s="9"/>
      <c r="C42" s="9"/>
      <c r="D42" s="13"/>
      <c r="E42" s="13"/>
      <c r="F42" s="179"/>
      <c r="G42" s="179"/>
      <c r="H42" s="179"/>
      <c r="I42" s="167"/>
      <c r="J42" s="22"/>
      <c r="K42" s="22"/>
      <c r="L42" s="22"/>
    </row>
    <row r="43" spans="1:12">
      <c r="A43" s="15" t="s">
        <v>348</v>
      </c>
      <c r="B43" s="9"/>
      <c r="C43" s="9"/>
      <c r="D43" s="13"/>
      <c r="E43" s="13"/>
      <c r="F43" s="13"/>
      <c r="G43" s="13"/>
      <c r="H43" s="13"/>
      <c r="I43" s="9"/>
      <c r="J43" s="17"/>
      <c r="K43" s="17"/>
      <c r="L43" s="17"/>
    </row>
    <row r="44" spans="1:12">
      <c r="B44" s="9"/>
      <c r="C44" s="9"/>
      <c r="D44" s="13"/>
      <c r="E44" s="13"/>
      <c r="F44" s="13"/>
      <c r="G44" s="13"/>
      <c r="H44" s="13"/>
      <c r="I44" s="9"/>
      <c r="J44" s="11"/>
      <c r="K44" s="11"/>
      <c r="L44" s="11"/>
    </row>
    <row r="45" spans="1:12" ht="18.75" customHeight="1">
      <c r="A45" s="9"/>
      <c r="B45" s="9"/>
      <c r="C45" s="9"/>
      <c r="D45" s="13"/>
      <c r="E45" s="13"/>
      <c r="F45" s="13"/>
      <c r="G45" s="13"/>
      <c r="H45" s="13"/>
      <c r="I45" s="9"/>
      <c r="J45" s="11"/>
      <c r="K45" s="11"/>
      <c r="L45" s="11"/>
    </row>
    <row r="46" spans="1:12">
      <c r="A46" s="13"/>
      <c r="B46" s="25" t="s">
        <v>145</v>
      </c>
      <c r="C46" s="13"/>
      <c r="D46" s="25"/>
      <c r="E46" s="13"/>
      <c r="G46" s="25"/>
      <c r="H46" s="25" t="s">
        <v>145</v>
      </c>
      <c r="I46" s="13"/>
      <c r="J46" s="13"/>
      <c r="K46" s="13"/>
      <c r="L46" s="13"/>
    </row>
    <row r="47" spans="1:12" ht="9.75" customHeight="1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</row>
    <row r="48" spans="1:12">
      <c r="B48" s="25"/>
      <c r="C48" s="13"/>
      <c r="D48" s="25"/>
      <c r="E48" s="25"/>
      <c r="F48" s="25"/>
      <c r="G48" s="25"/>
      <c r="H48" s="13"/>
      <c r="I48" s="25"/>
      <c r="J48" s="25"/>
      <c r="K48" s="25"/>
      <c r="L48" s="25"/>
    </row>
    <row r="49" spans="1:12">
      <c r="A49" s="25"/>
      <c r="B49" s="26"/>
      <c r="C49" s="13"/>
      <c r="D49" s="13"/>
      <c r="E49" s="13"/>
      <c r="F49" s="13"/>
      <c r="G49" s="13"/>
      <c r="H49" s="13"/>
      <c r="I49" s="13"/>
      <c r="J49" s="13"/>
      <c r="K49" s="13"/>
      <c r="L49" s="11"/>
    </row>
    <row r="50" spans="1:12">
      <c r="A50" s="222" t="s">
        <v>131</v>
      </c>
      <c r="B50" s="222"/>
      <c r="C50" s="222"/>
      <c r="D50" s="222"/>
      <c r="E50" s="222"/>
      <c r="F50" s="222"/>
      <c r="G50" s="222"/>
      <c r="H50" s="222"/>
      <c r="I50" s="222"/>
      <c r="J50" s="222"/>
      <c r="K50" s="222"/>
      <c r="L50" s="222"/>
    </row>
    <row r="51" spans="1:12">
      <c r="A51" s="222" t="s">
        <v>240</v>
      </c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s="27" customFormat="1">
      <c r="A52" s="222" t="str">
        <f>+A5</f>
        <v>AS AT MARCH 31, 2023</v>
      </c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</row>
    <row r="53" spans="1:12" ht="18.75" customHeight="1">
      <c r="A53" s="9"/>
      <c r="B53" s="9"/>
      <c r="C53" s="9"/>
      <c r="F53" s="223" t="s">
        <v>132</v>
      </c>
      <c r="G53" s="223"/>
      <c r="H53" s="223"/>
      <c r="I53" s="223"/>
      <c r="J53" s="223"/>
      <c r="K53" s="223"/>
      <c r="L53" s="223"/>
    </row>
    <row r="54" spans="1:12" ht="18.75" customHeight="1">
      <c r="A54" s="9"/>
      <c r="B54" s="9"/>
      <c r="C54" s="9"/>
      <c r="F54" s="220" t="s">
        <v>205</v>
      </c>
      <c r="G54" s="220"/>
      <c r="H54" s="220"/>
      <c r="I54" s="82"/>
      <c r="J54" s="220" t="s">
        <v>206</v>
      </c>
      <c r="K54" s="220"/>
      <c r="L54" s="220"/>
    </row>
    <row r="55" spans="1:12">
      <c r="A55" s="9"/>
      <c r="B55" s="9"/>
      <c r="C55" s="9"/>
      <c r="D55" s="130" t="s">
        <v>133</v>
      </c>
      <c r="F55" s="131" t="str">
        <f>F8</f>
        <v>March 31, 2023</v>
      </c>
      <c r="H55" s="131" t="str">
        <f>H8</f>
        <v>December 31, 2022</v>
      </c>
      <c r="J55" s="131" t="str">
        <f>J8</f>
        <v>March 31, 2023</v>
      </c>
      <c r="K55" s="6"/>
      <c r="L55" s="131" t="str">
        <f>L8</f>
        <v>December 31, 2022</v>
      </c>
    </row>
    <row r="56" spans="1:12">
      <c r="A56" s="9"/>
      <c r="B56" s="9"/>
      <c r="C56" s="9"/>
      <c r="F56" s="188" t="s">
        <v>370</v>
      </c>
      <c r="G56" s="188"/>
      <c r="H56" s="188" t="s">
        <v>372</v>
      </c>
      <c r="J56" s="188" t="s">
        <v>370</v>
      </c>
      <c r="K56" s="188"/>
      <c r="L56" s="188" t="s">
        <v>372</v>
      </c>
    </row>
    <row r="57" spans="1:12" s="37" customFormat="1" ht="18" customHeight="1">
      <c r="A57" s="6"/>
      <c r="B57" s="6"/>
      <c r="C57" s="6"/>
      <c r="D57" s="6"/>
      <c r="E57" s="6"/>
      <c r="F57" s="74" t="s">
        <v>371</v>
      </c>
      <c r="G57" s="133"/>
      <c r="H57" s="74"/>
      <c r="I57" s="9"/>
      <c r="J57" s="74" t="s">
        <v>371</v>
      </c>
      <c r="K57" s="133"/>
      <c r="L57" s="74"/>
    </row>
    <row r="58" spans="1:12" ht="18" customHeight="1">
      <c r="A58" s="224" t="s">
        <v>146</v>
      </c>
      <c r="B58" s="224"/>
      <c r="C58" s="224"/>
      <c r="D58" s="13"/>
      <c r="E58" s="13"/>
      <c r="F58" s="28"/>
      <c r="G58" s="28"/>
      <c r="H58" s="28"/>
      <c r="I58" s="9"/>
      <c r="J58" s="28"/>
      <c r="K58" s="28"/>
      <c r="L58" s="28"/>
    </row>
    <row r="59" spans="1:12">
      <c r="A59" s="132" t="s">
        <v>147</v>
      </c>
      <c r="B59" s="9"/>
      <c r="C59" s="9"/>
      <c r="D59" s="13"/>
      <c r="E59" s="13"/>
      <c r="F59" s="10"/>
      <c r="G59" s="10"/>
      <c r="H59" s="10"/>
      <c r="I59" s="9"/>
      <c r="J59" s="11"/>
      <c r="K59" s="11"/>
      <c r="L59" s="11"/>
    </row>
    <row r="60" spans="1:12">
      <c r="A60" s="9"/>
      <c r="B60" s="9" t="s">
        <v>296</v>
      </c>
      <c r="C60" s="9"/>
      <c r="D60" s="13">
        <v>16</v>
      </c>
      <c r="E60" s="13"/>
      <c r="F60" s="173">
        <v>420000000</v>
      </c>
      <c r="G60" s="10"/>
      <c r="H60" s="173">
        <v>360000000</v>
      </c>
      <c r="I60" s="9"/>
      <c r="J60" s="14">
        <v>420000000</v>
      </c>
      <c r="K60" s="11"/>
      <c r="L60" s="14">
        <v>360000000</v>
      </c>
    </row>
    <row r="61" spans="1:12">
      <c r="A61" s="9"/>
      <c r="B61" s="9" t="s">
        <v>265</v>
      </c>
      <c r="C61" s="9"/>
      <c r="D61" s="13"/>
      <c r="E61" s="13"/>
      <c r="F61" s="12"/>
      <c r="G61" s="12"/>
      <c r="H61" s="12"/>
      <c r="I61" s="18"/>
      <c r="J61" s="11"/>
      <c r="K61" s="11"/>
      <c r="L61" s="11"/>
    </row>
    <row r="62" spans="1:12">
      <c r="A62" s="9"/>
      <c r="B62" s="9"/>
      <c r="C62" s="9" t="s">
        <v>189</v>
      </c>
      <c r="D62" s="13">
        <v>17</v>
      </c>
      <c r="E62" s="13"/>
      <c r="F62" s="173">
        <v>527457.81000000006</v>
      </c>
      <c r="G62" s="173"/>
      <c r="H62" s="173">
        <v>534699.31000000006</v>
      </c>
      <c r="I62" s="167"/>
      <c r="J62" s="14">
        <v>0</v>
      </c>
      <c r="K62" s="14"/>
      <c r="L62" s="14">
        <v>0</v>
      </c>
    </row>
    <row r="63" spans="1:12">
      <c r="A63" s="9"/>
      <c r="B63" s="9" t="s">
        <v>321</v>
      </c>
      <c r="C63" s="9"/>
      <c r="D63" s="3"/>
      <c r="E63" s="3"/>
      <c r="F63" s="3"/>
      <c r="G63" s="3"/>
      <c r="H63" s="3"/>
      <c r="J63" s="3"/>
      <c r="K63" s="3"/>
      <c r="L63" s="3"/>
    </row>
    <row r="64" spans="1:12">
      <c r="A64" s="9"/>
      <c r="B64" s="9"/>
      <c r="C64" s="9" t="s">
        <v>189</v>
      </c>
      <c r="D64" s="6">
        <v>18</v>
      </c>
      <c r="E64" s="13"/>
      <c r="F64" s="173">
        <v>15813453.4</v>
      </c>
      <c r="G64" s="173"/>
      <c r="H64" s="173">
        <v>26888375.510000002</v>
      </c>
      <c r="I64" s="167"/>
      <c r="J64" s="14">
        <v>8597007.5199999996</v>
      </c>
      <c r="K64" s="14"/>
      <c r="L64" s="14">
        <v>13042986.43</v>
      </c>
    </row>
    <row r="65" spans="1:14">
      <c r="A65" s="9"/>
      <c r="B65" s="9"/>
      <c r="C65" s="9" t="s">
        <v>331</v>
      </c>
      <c r="D65" s="6">
        <v>2.5</v>
      </c>
      <c r="E65" s="13"/>
      <c r="F65" s="173">
        <v>0</v>
      </c>
      <c r="G65" s="173"/>
      <c r="H65" s="173">
        <v>0</v>
      </c>
      <c r="I65" s="167"/>
      <c r="J65" s="14">
        <v>0</v>
      </c>
      <c r="K65" s="14"/>
      <c r="L65" s="14">
        <v>6591361.0499999998</v>
      </c>
    </row>
    <row r="66" spans="1:14">
      <c r="A66" s="9"/>
      <c r="B66" s="9" t="s">
        <v>202</v>
      </c>
      <c r="E66" s="13"/>
      <c r="F66" s="173"/>
      <c r="G66" s="173"/>
      <c r="H66" s="173"/>
      <c r="I66" s="167"/>
      <c r="J66" s="14"/>
      <c r="K66" s="14"/>
      <c r="L66" s="14"/>
    </row>
    <row r="67" spans="1:14">
      <c r="A67" s="9"/>
      <c r="B67" s="9"/>
      <c r="C67" s="9" t="s">
        <v>331</v>
      </c>
      <c r="D67" s="6">
        <v>2.6</v>
      </c>
      <c r="E67" s="13"/>
      <c r="F67" s="173">
        <v>0</v>
      </c>
      <c r="G67" s="173"/>
      <c r="H67" s="173">
        <v>0</v>
      </c>
      <c r="I67" s="167"/>
      <c r="J67" s="14">
        <v>25000000</v>
      </c>
      <c r="K67" s="14"/>
      <c r="L67" s="14">
        <v>25000000</v>
      </c>
    </row>
    <row r="68" spans="1:14">
      <c r="A68" s="9"/>
      <c r="B68" s="9" t="s">
        <v>149</v>
      </c>
      <c r="D68" s="13"/>
      <c r="E68" s="13"/>
      <c r="F68" s="173">
        <v>14354634.25</v>
      </c>
      <c r="G68" s="173"/>
      <c r="H68" s="173">
        <v>14354634.25</v>
      </c>
      <c r="I68" s="167"/>
      <c r="J68" s="173">
        <v>14354634.25</v>
      </c>
      <c r="K68" s="173"/>
      <c r="L68" s="173">
        <v>14354634.25</v>
      </c>
    </row>
    <row r="69" spans="1:14">
      <c r="A69" s="9"/>
      <c r="B69" s="9" t="s">
        <v>378</v>
      </c>
      <c r="D69" s="13">
        <v>19</v>
      </c>
      <c r="E69" s="13"/>
      <c r="F69" s="173">
        <v>787360.56</v>
      </c>
      <c r="G69" s="173"/>
      <c r="H69" s="173">
        <v>783184.47</v>
      </c>
      <c r="I69" s="167"/>
      <c r="J69" s="173">
        <v>787360.56</v>
      </c>
      <c r="K69" s="173"/>
      <c r="L69" s="173">
        <v>783184.47</v>
      </c>
    </row>
    <row r="70" spans="1:14">
      <c r="A70" s="9"/>
      <c r="B70" s="9" t="s">
        <v>148</v>
      </c>
      <c r="C70" s="9"/>
      <c r="D70" s="13"/>
      <c r="E70" s="13"/>
      <c r="F70" s="173"/>
      <c r="G70" s="173"/>
      <c r="H70" s="173"/>
      <c r="I70" s="167"/>
      <c r="J70" s="173"/>
      <c r="K70" s="173"/>
      <c r="L70" s="173"/>
    </row>
    <row r="71" spans="1:14">
      <c r="A71" s="9"/>
      <c r="B71" s="9"/>
      <c r="C71" s="9" t="s">
        <v>211</v>
      </c>
      <c r="D71" s="13"/>
      <c r="E71" s="13"/>
      <c r="F71" s="173">
        <v>2893758.4</v>
      </c>
      <c r="G71" s="173"/>
      <c r="H71" s="173">
        <v>4198579.91</v>
      </c>
      <c r="I71" s="170"/>
      <c r="J71" s="170">
        <v>2893758.4</v>
      </c>
      <c r="K71" s="170"/>
      <c r="L71" s="170">
        <v>4198579.91</v>
      </c>
    </row>
    <row r="72" spans="1:14">
      <c r="A72" s="9"/>
      <c r="B72" s="9"/>
      <c r="C72" s="9" t="s">
        <v>138</v>
      </c>
      <c r="D72" s="13"/>
      <c r="E72" s="13"/>
      <c r="F72" s="173">
        <v>4232908.46</v>
      </c>
      <c r="G72" s="173"/>
      <c r="H72" s="173">
        <v>897660.67</v>
      </c>
      <c r="I72" s="167"/>
      <c r="J72" s="14">
        <v>3894739.13</v>
      </c>
      <c r="K72" s="14"/>
      <c r="L72" s="14">
        <v>822936.56</v>
      </c>
    </row>
    <row r="73" spans="1:14">
      <c r="A73" s="9"/>
      <c r="B73" s="9"/>
      <c r="C73" s="132" t="s">
        <v>150</v>
      </c>
      <c r="D73" s="13"/>
      <c r="E73" s="13"/>
      <c r="F73" s="172">
        <f>SUM(F60:F72)</f>
        <v>458609572.87999994</v>
      </c>
      <c r="G73" s="22"/>
      <c r="H73" s="172">
        <f>SUM(H60:H72)</f>
        <v>407657134.12000006</v>
      </c>
      <c r="I73" s="167"/>
      <c r="J73" s="172">
        <f>SUM(J60:J72)</f>
        <v>475527499.85999995</v>
      </c>
      <c r="K73" s="22"/>
      <c r="L73" s="172">
        <f>SUM(L60:L72)</f>
        <v>424793682.67000008</v>
      </c>
    </row>
    <row r="74" spans="1:14">
      <c r="A74" s="9"/>
      <c r="B74" s="9"/>
      <c r="C74" s="132"/>
      <c r="D74" s="13"/>
      <c r="E74" s="13"/>
      <c r="F74" s="22"/>
      <c r="G74" s="22"/>
      <c r="H74" s="22"/>
      <c r="I74" s="167"/>
      <c r="J74" s="22"/>
      <c r="K74" s="22"/>
      <c r="L74" s="22"/>
    </row>
    <row r="75" spans="1:14">
      <c r="A75" s="132" t="s">
        <v>224</v>
      </c>
      <c r="B75" s="9"/>
      <c r="C75" s="132"/>
      <c r="D75" s="13"/>
      <c r="E75" s="13"/>
      <c r="F75" s="22"/>
      <c r="G75" s="22"/>
      <c r="H75" s="22"/>
      <c r="I75" s="167"/>
      <c r="J75" s="22"/>
      <c r="K75" s="22"/>
      <c r="L75" s="22"/>
    </row>
    <row r="76" spans="1:14">
      <c r="A76" s="132"/>
      <c r="B76" s="9" t="s">
        <v>377</v>
      </c>
      <c r="C76" s="132"/>
      <c r="D76" s="13">
        <v>19</v>
      </c>
      <c r="E76" s="13"/>
      <c r="F76" s="22">
        <v>1076209.6200000001</v>
      </c>
      <c r="G76" s="22"/>
      <c r="H76" s="22">
        <v>1274622.74</v>
      </c>
      <c r="I76" s="167"/>
      <c r="J76" s="22">
        <v>1076209.6200000001</v>
      </c>
      <c r="K76" s="22"/>
      <c r="L76" s="22">
        <v>1274622.74</v>
      </c>
    </row>
    <row r="77" spans="1:14">
      <c r="A77" s="132"/>
      <c r="B77" s="9" t="s">
        <v>266</v>
      </c>
      <c r="C77" s="132"/>
      <c r="D77" s="13">
        <v>15.3</v>
      </c>
      <c r="E77" s="13"/>
      <c r="F77" s="22">
        <v>0</v>
      </c>
      <c r="G77" s="22"/>
      <c r="H77" s="22">
        <v>0</v>
      </c>
      <c r="I77" s="167"/>
      <c r="J77" s="22">
        <v>0</v>
      </c>
      <c r="K77" s="22"/>
      <c r="L77" s="22">
        <v>0</v>
      </c>
    </row>
    <row r="78" spans="1:14">
      <c r="A78" s="9"/>
      <c r="B78" s="9" t="s">
        <v>322</v>
      </c>
      <c r="C78" s="132"/>
      <c r="D78" s="13">
        <v>20</v>
      </c>
      <c r="E78" s="13"/>
      <c r="F78" s="173">
        <v>33883581</v>
      </c>
      <c r="G78" s="173"/>
      <c r="H78" s="173">
        <v>33197268</v>
      </c>
      <c r="I78" s="14"/>
      <c r="J78" s="14">
        <v>31885313</v>
      </c>
      <c r="K78" s="14"/>
      <c r="L78" s="14">
        <v>31269880</v>
      </c>
      <c r="N78" s="166"/>
    </row>
    <row r="79" spans="1:14">
      <c r="A79" s="9"/>
      <c r="B79" s="9"/>
      <c r="C79" s="132" t="s">
        <v>225</v>
      </c>
      <c r="D79" s="13"/>
      <c r="E79" s="13"/>
      <c r="F79" s="172">
        <f>SUM(F76:F78)</f>
        <v>34959790.619999997</v>
      </c>
      <c r="G79" s="22"/>
      <c r="H79" s="172">
        <f>SUM(H76:H78)</f>
        <v>34471890.740000002</v>
      </c>
      <c r="I79" s="14"/>
      <c r="J79" s="172">
        <f>SUM(J76:J78)</f>
        <v>32961522.620000001</v>
      </c>
      <c r="K79" s="22"/>
      <c r="L79" s="172">
        <f>SUM(L76:L78)</f>
        <v>32544502.739999998</v>
      </c>
    </row>
    <row r="80" spans="1:14">
      <c r="A80" s="9"/>
      <c r="B80" s="9"/>
      <c r="C80" s="132" t="s">
        <v>226</v>
      </c>
      <c r="D80" s="13"/>
      <c r="E80" s="13"/>
      <c r="F80" s="169">
        <f>+F79+F73</f>
        <v>493569363.49999994</v>
      </c>
      <c r="G80" s="22"/>
      <c r="H80" s="169">
        <f>+H79+H73</f>
        <v>442129024.86000007</v>
      </c>
      <c r="I80" s="167"/>
      <c r="J80" s="169">
        <f>+J79+J73</f>
        <v>508489022.47999996</v>
      </c>
      <c r="K80" s="22"/>
      <c r="L80" s="169">
        <f>+L79+L73</f>
        <v>457338185.41000009</v>
      </c>
    </row>
    <row r="81" spans="1:12">
      <c r="A81" s="9"/>
      <c r="B81" s="9"/>
      <c r="C81" s="132"/>
      <c r="D81" s="13"/>
      <c r="E81" s="13"/>
      <c r="F81" s="22"/>
      <c r="G81" s="22"/>
      <c r="H81" s="22"/>
      <c r="I81" s="167"/>
      <c r="J81" s="22"/>
      <c r="K81" s="22"/>
      <c r="L81" s="22"/>
    </row>
    <row r="82" spans="1:12">
      <c r="A82" s="15" t="str">
        <f>+A43</f>
        <v>The accompanying interim notes to financial statements are an integral part of these interim financial statements.</v>
      </c>
      <c r="B82" s="9"/>
      <c r="C82" s="132"/>
      <c r="D82" s="13"/>
      <c r="E82" s="13"/>
      <c r="F82" s="17"/>
      <c r="G82" s="17"/>
      <c r="H82" s="17"/>
      <c r="I82" s="18"/>
      <c r="J82" s="17"/>
      <c r="K82" s="17"/>
      <c r="L82" s="17"/>
    </row>
    <row r="83" spans="1:12">
      <c r="A83" s="9"/>
      <c r="B83" s="9"/>
      <c r="C83" s="132"/>
      <c r="D83" s="13"/>
      <c r="E83" s="13"/>
      <c r="F83" s="17"/>
      <c r="G83" s="17"/>
      <c r="H83" s="17"/>
      <c r="I83" s="18"/>
      <c r="J83" s="17"/>
      <c r="K83" s="17"/>
      <c r="L83" s="17"/>
    </row>
    <row r="84" spans="1:12">
      <c r="A84" s="9"/>
      <c r="B84" s="9"/>
      <c r="C84" s="132"/>
      <c r="D84" s="13"/>
      <c r="E84" s="13"/>
      <c r="F84" s="17"/>
      <c r="G84" s="17"/>
      <c r="H84" s="17"/>
      <c r="I84" s="18"/>
      <c r="J84" s="17"/>
      <c r="K84" s="17"/>
      <c r="L84" s="17"/>
    </row>
    <row r="85" spans="1:12">
      <c r="A85" s="9"/>
      <c r="B85" s="9"/>
      <c r="C85" s="132"/>
      <c r="D85" s="13"/>
      <c r="E85" s="13"/>
      <c r="F85" s="17"/>
      <c r="G85" s="17"/>
      <c r="H85" s="17"/>
      <c r="I85" s="18"/>
      <c r="J85" s="17"/>
      <c r="K85" s="17"/>
      <c r="L85" s="17"/>
    </row>
    <row r="86" spans="1:12">
      <c r="A86" s="9"/>
      <c r="B86" s="9"/>
      <c r="C86" s="132"/>
      <c r="D86" s="13"/>
      <c r="E86" s="13"/>
      <c r="F86" s="17"/>
      <c r="G86" s="17"/>
      <c r="H86" s="17"/>
      <c r="I86" s="18"/>
      <c r="J86" s="17"/>
      <c r="K86" s="17"/>
      <c r="L86" s="17"/>
    </row>
    <row r="87" spans="1:12">
      <c r="A87" s="9"/>
      <c r="B87" s="9"/>
      <c r="C87" s="132"/>
      <c r="D87" s="13"/>
      <c r="E87" s="13"/>
      <c r="F87" s="17"/>
      <c r="G87" s="17"/>
      <c r="H87" s="17"/>
      <c r="I87" s="18"/>
      <c r="J87" s="17"/>
      <c r="K87" s="17"/>
      <c r="L87" s="17"/>
    </row>
    <row r="88" spans="1:12">
      <c r="A88" s="137"/>
      <c r="B88" s="9"/>
      <c r="C88" s="9"/>
      <c r="D88" s="13"/>
      <c r="E88" s="13"/>
      <c r="F88" s="13"/>
      <c r="G88" s="13"/>
      <c r="H88" s="13"/>
      <c r="I88" s="9"/>
      <c r="J88" s="17"/>
      <c r="K88" s="17"/>
      <c r="L88" s="17"/>
    </row>
    <row r="89" spans="1:12">
      <c r="A89" s="137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>
      <c r="A90" s="137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>
      <c r="A92" s="13"/>
      <c r="B92" s="25" t="s">
        <v>145</v>
      </c>
      <c r="C92" s="13"/>
      <c r="D92" s="25"/>
      <c r="E92" s="13"/>
      <c r="G92" s="25"/>
      <c r="H92" s="25" t="s">
        <v>145</v>
      </c>
      <c r="I92" s="13"/>
      <c r="J92" s="13"/>
      <c r="K92" s="13"/>
      <c r="L92" s="13"/>
    </row>
    <row r="93" spans="1:12">
      <c r="A93" s="221"/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</row>
    <row r="94" spans="1:12">
      <c r="B94" s="25"/>
      <c r="C94" s="13"/>
      <c r="D94" s="25"/>
      <c r="E94" s="25"/>
      <c r="F94" s="25"/>
      <c r="G94" s="25"/>
      <c r="H94" s="13"/>
      <c r="I94" s="25"/>
      <c r="J94" s="25"/>
      <c r="K94" s="25"/>
      <c r="L94" s="25"/>
    </row>
    <row r="95" spans="1:12">
      <c r="A95" s="25"/>
      <c r="B95" s="26"/>
      <c r="C95" s="13"/>
      <c r="D95" s="13"/>
      <c r="E95" s="13"/>
      <c r="F95" s="13"/>
      <c r="G95" s="13"/>
      <c r="H95" s="13"/>
      <c r="I95" s="13"/>
      <c r="J95" s="13"/>
      <c r="K95" s="13"/>
      <c r="L95" s="11"/>
    </row>
    <row r="96" spans="1:12">
      <c r="A96" s="222" t="s">
        <v>131</v>
      </c>
      <c r="B96" s="222"/>
      <c r="C96" s="222"/>
      <c r="D96" s="222"/>
      <c r="E96" s="222"/>
      <c r="F96" s="222"/>
      <c r="G96" s="222"/>
      <c r="H96" s="222"/>
      <c r="I96" s="222"/>
      <c r="J96" s="222"/>
      <c r="K96" s="222"/>
      <c r="L96" s="222"/>
    </row>
    <row r="97" spans="1:12">
      <c r="A97" s="222" t="s">
        <v>240</v>
      </c>
      <c r="B97" s="222"/>
      <c r="C97" s="222"/>
      <c r="D97" s="222"/>
      <c r="E97" s="222"/>
      <c r="F97" s="222"/>
      <c r="G97" s="222"/>
      <c r="H97" s="222"/>
      <c r="I97" s="222"/>
      <c r="J97" s="222"/>
      <c r="K97" s="222"/>
      <c r="L97" s="222"/>
    </row>
    <row r="98" spans="1:12" s="27" customFormat="1" ht="21.75" customHeight="1">
      <c r="A98" s="243" t="str">
        <f>+A52</f>
        <v>AS AT MARCH 31, 2023</v>
      </c>
      <c r="B98" s="243"/>
      <c r="C98" s="243"/>
      <c r="D98" s="243"/>
      <c r="E98" s="243"/>
      <c r="F98" s="243"/>
      <c r="G98" s="243"/>
      <c r="H98" s="243"/>
      <c r="I98" s="243"/>
      <c r="J98" s="243"/>
      <c r="K98" s="243"/>
      <c r="L98" s="243"/>
    </row>
    <row r="99" spans="1:12">
      <c r="A99" s="9"/>
      <c r="B99" s="9"/>
      <c r="C99" s="9"/>
      <c r="F99" s="223" t="s">
        <v>132</v>
      </c>
      <c r="G99" s="223"/>
      <c r="H99" s="223"/>
      <c r="I99" s="223"/>
      <c r="J99" s="223"/>
      <c r="K99" s="223"/>
      <c r="L99" s="223"/>
    </row>
    <row r="100" spans="1:12" ht="19">
      <c r="A100" s="9"/>
      <c r="B100" s="9"/>
      <c r="C100" s="9"/>
      <c r="F100" s="220" t="s">
        <v>205</v>
      </c>
      <c r="G100" s="220"/>
      <c r="H100" s="220"/>
      <c r="I100" s="82"/>
      <c r="J100" s="220" t="s">
        <v>206</v>
      </c>
      <c r="K100" s="220"/>
      <c r="L100" s="220"/>
    </row>
    <row r="101" spans="1:12">
      <c r="A101" s="9"/>
      <c r="B101" s="9"/>
      <c r="C101" s="9"/>
      <c r="D101" s="130" t="s">
        <v>133</v>
      </c>
      <c r="F101" s="131" t="str">
        <f>F55</f>
        <v>March 31, 2023</v>
      </c>
      <c r="H101" s="131" t="str">
        <f>H55</f>
        <v>December 31, 2022</v>
      </c>
      <c r="J101" s="131" t="str">
        <f>J55</f>
        <v>March 31, 2023</v>
      </c>
      <c r="K101" s="6"/>
      <c r="L101" s="131" t="str">
        <f>L55</f>
        <v>December 31, 2022</v>
      </c>
    </row>
    <row r="102" spans="1:12">
      <c r="A102" s="9"/>
      <c r="B102" s="9"/>
      <c r="C102" s="9"/>
      <c r="D102" s="242"/>
      <c r="F102" s="188" t="s">
        <v>370</v>
      </c>
      <c r="G102" s="188"/>
      <c r="H102" s="188" t="s">
        <v>372</v>
      </c>
      <c r="J102" s="188" t="s">
        <v>370</v>
      </c>
      <c r="K102" s="188"/>
      <c r="L102" s="188" t="s">
        <v>372</v>
      </c>
    </row>
    <row r="103" spans="1:12">
      <c r="A103" s="9"/>
      <c r="B103" s="9"/>
      <c r="C103" s="9"/>
      <c r="D103" s="242"/>
      <c r="F103" s="74" t="s">
        <v>371</v>
      </c>
      <c r="G103" s="133"/>
      <c r="H103" s="74"/>
      <c r="I103" s="9"/>
      <c r="J103" s="74" t="s">
        <v>371</v>
      </c>
      <c r="K103" s="133"/>
      <c r="L103" s="74"/>
    </row>
    <row r="104" spans="1:12">
      <c r="A104" s="6"/>
      <c r="B104" s="6"/>
      <c r="C104" s="6"/>
      <c r="F104" s="20"/>
      <c r="G104" s="20"/>
      <c r="H104" s="20"/>
      <c r="I104" s="9"/>
      <c r="J104" s="20"/>
      <c r="K104" s="20"/>
      <c r="L104" s="20"/>
    </row>
    <row r="105" spans="1:12">
      <c r="A105" s="132" t="s">
        <v>151</v>
      </c>
      <c r="B105" s="9"/>
      <c r="C105" s="9"/>
      <c r="D105" s="13"/>
      <c r="E105" s="13"/>
      <c r="F105" s="28"/>
      <c r="G105" s="28"/>
      <c r="H105" s="29"/>
      <c r="I105" s="9"/>
      <c r="J105" s="28"/>
      <c r="K105" s="28"/>
      <c r="L105" s="28"/>
    </row>
    <row r="106" spans="1:12">
      <c r="A106" s="9"/>
      <c r="B106" s="9" t="s">
        <v>286</v>
      </c>
      <c r="C106" s="9"/>
      <c r="D106" s="13"/>
      <c r="E106" s="13"/>
      <c r="F106" s="170"/>
      <c r="G106" s="170"/>
      <c r="H106" s="170"/>
      <c r="I106" s="167"/>
      <c r="J106" s="22"/>
      <c r="K106" s="22"/>
      <c r="L106" s="14"/>
    </row>
    <row r="107" spans="1:12">
      <c r="A107" s="9"/>
      <c r="B107" s="9" t="s">
        <v>152</v>
      </c>
      <c r="C107" s="9"/>
      <c r="D107" s="13"/>
      <c r="E107" s="13"/>
      <c r="F107" s="170"/>
      <c r="G107" s="170"/>
      <c r="H107" s="170"/>
      <c r="I107" s="167"/>
      <c r="J107" s="22"/>
      <c r="K107" s="22"/>
      <c r="L107" s="14"/>
    </row>
    <row r="108" spans="1:12" ht="18" thickBot="1">
      <c r="A108" s="9"/>
      <c r="B108" s="9"/>
      <c r="C108" s="39" t="s">
        <v>349</v>
      </c>
      <c r="D108" s="13">
        <v>21</v>
      </c>
      <c r="E108" s="13"/>
      <c r="F108" s="191">
        <v>1637350330.1199999</v>
      </c>
      <c r="G108" s="170"/>
      <c r="H108" s="191">
        <v>1637350330.1199999</v>
      </c>
      <c r="I108" s="167"/>
      <c r="J108" s="191">
        <v>1637350330.1199999</v>
      </c>
      <c r="K108" s="170"/>
      <c r="L108" s="191">
        <v>1637350330.1199999</v>
      </c>
    </row>
    <row r="109" spans="1:12" ht="18" thickTop="1">
      <c r="A109" s="9"/>
      <c r="B109" s="9" t="s">
        <v>192</v>
      </c>
      <c r="C109" s="9"/>
      <c r="D109" s="13"/>
      <c r="E109" s="13"/>
      <c r="F109" s="170"/>
      <c r="G109" s="170"/>
      <c r="H109" s="170"/>
      <c r="I109" s="167"/>
      <c r="J109" s="14"/>
      <c r="K109" s="14"/>
      <c r="L109" s="14"/>
    </row>
    <row r="110" spans="1:12">
      <c r="A110" s="9"/>
      <c r="B110" s="9"/>
      <c r="C110" s="39" t="s">
        <v>350</v>
      </c>
      <c r="D110" s="13">
        <v>21</v>
      </c>
      <c r="E110" s="13"/>
      <c r="F110" s="14">
        <v>1164401069.76</v>
      </c>
      <c r="G110" s="14"/>
      <c r="H110" s="4">
        <v>1164401069.76</v>
      </c>
      <c r="I110" s="14"/>
      <c r="J110" s="14">
        <v>1164401069.76</v>
      </c>
      <c r="K110" s="14"/>
      <c r="L110" s="4">
        <v>1164401069.76</v>
      </c>
    </row>
    <row r="111" spans="1:12">
      <c r="A111" s="9"/>
      <c r="B111" s="9" t="s">
        <v>287</v>
      </c>
      <c r="C111" s="36"/>
      <c r="D111" s="13">
        <v>21</v>
      </c>
      <c r="E111" s="13"/>
      <c r="F111" s="14">
        <f>+'Changed-Conso'!H41</f>
        <v>688264273.16999996</v>
      </c>
      <c r="G111" s="14"/>
      <c r="H111" s="14">
        <v>688264273.17000008</v>
      </c>
      <c r="I111" s="167"/>
      <c r="J111" s="14">
        <f>+'Changed-Com'!H39</f>
        <v>688264273.17000008</v>
      </c>
      <c r="K111" s="14"/>
      <c r="L111" s="14">
        <v>688264273.17000008</v>
      </c>
    </row>
    <row r="112" spans="1:12">
      <c r="A112" s="9"/>
      <c r="B112" s="9" t="s">
        <v>311</v>
      </c>
      <c r="C112" s="36"/>
      <c r="D112" s="13">
        <v>22</v>
      </c>
      <c r="E112" s="13"/>
      <c r="F112" s="14">
        <f>+'Changed-Conso'!J41</f>
        <v>0</v>
      </c>
      <c r="G112" s="14"/>
      <c r="H112" s="14">
        <v>0</v>
      </c>
      <c r="I112" s="167"/>
      <c r="J112" s="14">
        <f>+'Changed-Com'!J39</f>
        <v>0</v>
      </c>
      <c r="K112" s="14"/>
      <c r="L112" s="14">
        <v>0</v>
      </c>
    </row>
    <row r="113" spans="1:20">
      <c r="A113" s="9"/>
      <c r="B113" s="9" t="s">
        <v>153</v>
      </c>
      <c r="C113" s="9"/>
      <c r="D113" s="13"/>
      <c r="E113" s="13"/>
      <c r="F113" s="14"/>
      <c r="G113" s="14"/>
      <c r="H113" s="170"/>
      <c r="I113" s="167"/>
      <c r="J113" s="14"/>
      <c r="K113" s="14"/>
      <c r="L113" s="14"/>
    </row>
    <row r="114" spans="1:20">
      <c r="A114" s="9"/>
      <c r="B114" s="9"/>
      <c r="C114" s="9" t="s">
        <v>154</v>
      </c>
      <c r="D114" s="13"/>
      <c r="E114" s="13"/>
      <c r="F114" s="173">
        <f>+'Changed-Conso'!L41</f>
        <v>101508576.81</v>
      </c>
      <c r="G114" s="173"/>
      <c r="H114" s="173">
        <v>101508576.81</v>
      </c>
      <c r="I114" s="167"/>
      <c r="J114" s="173">
        <f>+'Changed-Com'!R39</f>
        <v>101508576.81000002</v>
      </c>
      <c r="K114" s="173"/>
      <c r="L114" s="173">
        <v>101508576.81000002</v>
      </c>
    </row>
    <row r="115" spans="1:20">
      <c r="A115" s="9"/>
      <c r="B115" s="9"/>
      <c r="C115" s="9" t="s">
        <v>155</v>
      </c>
      <c r="D115" s="30"/>
      <c r="E115" s="13"/>
      <c r="F115" s="22">
        <f>+'Changed-Conso'!N41</f>
        <v>728788463.17000008</v>
      </c>
      <c r="G115" s="22"/>
      <c r="H115" s="170">
        <v>640369161.44000018</v>
      </c>
      <c r="I115" s="167"/>
      <c r="J115" s="22">
        <f>+'Changed-Com'!T39</f>
        <v>941134488.90999973</v>
      </c>
      <c r="K115" s="22"/>
      <c r="L115" s="22">
        <v>972483609.41999972</v>
      </c>
    </row>
    <row r="116" spans="1:20">
      <c r="A116" s="9"/>
      <c r="B116" s="9" t="s">
        <v>231</v>
      </c>
      <c r="D116" s="3"/>
      <c r="E116" s="3"/>
      <c r="F116" s="169">
        <f>+'Changed-Conso'!T41</f>
        <v>18217629.880000003</v>
      </c>
      <c r="G116" s="22"/>
      <c r="H116" s="169">
        <v>17740596.209999993</v>
      </c>
      <c r="I116" s="167"/>
      <c r="J116" s="169">
        <v>0</v>
      </c>
      <c r="K116" s="22"/>
      <c r="L116" s="169">
        <v>0</v>
      </c>
    </row>
    <row r="117" spans="1:20">
      <c r="A117" s="9"/>
      <c r="B117" s="9"/>
      <c r="C117" s="9" t="s">
        <v>267</v>
      </c>
      <c r="D117" s="13"/>
      <c r="E117" s="13"/>
      <c r="F117" s="14">
        <f>SUM(F110:F116)</f>
        <v>2701180012.79</v>
      </c>
      <c r="G117" s="14"/>
      <c r="H117" s="14">
        <f>SUM(H110:H116)</f>
        <v>2612283677.3900003</v>
      </c>
      <c r="I117" s="167"/>
      <c r="J117" s="14">
        <f>SUM(J110:J116)</f>
        <v>2895308408.6499996</v>
      </c>
      <c r="K117" s="14"/>
      <c r="L117" s="14">
        <f>SUM(L110:L116)</f>
        <v>2926657529.1599998</v>
      </c>
    </row>
    <row r="118" spans="1:20">
      <c r="A118" s="9"/>
      <c r="B118" s="9" t="s">
        <v>235</v>
      </c>
      <c r="C118" s="9"/>
      <c r="D118" s="13"/>
      <c r="E118" s="13"/>
      <c r="F118" s="181">
        <f>+'Changed-Conso'!X41</f>
        <v>62641049.600000001</v>
      </c>
      <c r="G118" s="170"/>
      <c r="H118" s="181">
        <v>62855854.489999987</v>
      </c>
      <c r="I118" s="167"/>
      <c r="J118" s="169">
        <v>0</v>
      </c>
      <c r="K118" s="22"/>
      <c r="L118" s="169">
        <v>0</v>
      </c>
    </row>
    <row r="119" spans="1:20">
      <c r="A119" s="9"/>
      <c r="B119" s="9"/>
      <c r="C119" s="9" t="s">
        <v>268</v>
      </c>
      <c r="D119" s="13"/>
      <c r="E119" s="13"/>
      <c r="F119" s="14">
        <f>+F118+F117</f>
        <v>2763821062.3899999</v>
      </c>
      <c r="G119" s="14"/>
      <c r="H119" s="14">
        <f>+H118+H117</f>
        <v>2675139531.8800001</v>
      </c>
      <c r="I119" s="167"/>
      <c r="J119" s="14">
        <f>+J118+J117</f>
        <v>2895308408.6499996</v>
      </c>
      <c r="K119" s="14"/>
      <c r="L119" s="14">
        <f>+L118+L117</f>
        <v>2926657529.1599998</v>
      </c>
    </row>
    <row r="120" spans="1:20" ht="18" thickBot="1">
      <c r="A120" s="18" t="s">
        <v>156</v>
      </c>
      <c r="B120" s="9"/>
      <c r="C120" s="9"/>
      <c r="D120" s="13"/>
      <c r="E120" s="13"/>
      <c r="F120" s="174">
        <f>+F119+F80</f>
        <v>3257390425.8899999</v>
      </c>
      <c r="G120" s="22"/>
      <c r="H120" s="174">
        <f>+H119+H80</f>
        <v>3117268556.7400002</v>
      </c>
      <c r="I120" s="167"/>
      <c r="J120" s="174">
        <f>+J119+J80</f>
        <v>3403797431.1299996</v>
      </c>
      <c r="K120" s="22"/>
      <c r="L120" s="174">
        <f>+L119+L80</f>
        <v>3383995714.5699997</v>
      </c>
      <c r="N120" s="1">
        <f>F120-F41</f>
        <v>0</v>
      </c>
      <c r="P120" s="1" t="e">
        <f>#REF!-#REF!</f>
        <v>#REF!</v>
      </c>
      <c r="R120" s="1">
        <f>J120-J41</f>
        <v>0</v>
      </c>
      <c r="T120" s="1" t="e">
        <f>#REF!-#REF!</f>
        <v>#REF!</v>
      </c>
    </row>
    <row r="121" spans="1:20" ht="18" thickTop="1">
      <c r="A121" s="9"/>
      <c r="F121" s="182"/>
      <c r="G121" s="182"/>
      <c r="H121" s="182"/>
      <c r="I121" s="166"/>
      <c r="J121" s="4"/>
      <c r="K121" s="4"/>
      <c r="L121" s="4"/>
    </row>
    <row r="122" spans="1:20">
      <c r="A122" s="15" t="str">
        <f>+A43</f>
        <v>The accompanying interim notes to financial statements are an integral part of these interim financial statements.</v>
      </c>
      <c r="B122" s="9"/>
      <c r="C122" s="9"/>
      <c r="D122" s="13"/>
      <c r="E122" s="13"/>
      <c r="F122" s="22"/>
      <c r="G122" s="22"/>
      <c r="H122" s="22"/>
      <c r="I122" s="167"/>
      <c r="J122" s="22"/>
      <c r="K122" s="22"/>
      <c r="L122" s="22"/>
    </row>
    <row r="123" spans="1:20">
      <c r="A123" s="9"/>
      <c r="B123" s="9"/>
      <c r="C123" s="9"/>
      <c r="D123" s="13"/>
      <c r="E123" s="13"/>
      <c r="F123" s="17"/>
      <c r="G123" s="17"/>
      <c r="H123" s="17"/>
      <c r="I123" s="9"/>
      <c r="J123" s="17"/>
      <c r="K123" s="17"/>
      <c r="L123" s="17"/>
    </row>
    <row r="124" spans="1:20">
      <c r="A124" s="9"/>
      <c r="B124" s="9"/>
      <c r="C124" s="9"/>
      <c r="D124" s="13"/>
      <c r="E124" s="13"/>
      <c r="F124" s="17"/>
      <c r="G124" s="17"/>
      <c r="H124" s="17"/>
      <c r="I124" s="9"/>
      <c r="J124" s="17"/>
      <c r="K124" s="17"/>
      <c r="L124" s="17"/>
    </row>
    <row r="125" spans="1:20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>
      <c r="B131" s="9"/>
      <c r="C131" s="9"/>
      <c r="D131" s="13"/>
      <c r="E131" s="13"/>
      <c r="F131" s="13"/>
      <c r="G131" s="13"/>
      <c r="H131" s="13"/>
      <c r="I131" s="9"/>
      <c r="J131" s="17"/>
      <c r="K131" s="17"/>
      <c r="L131" s="17"/>
    </row>
    <row r="132" spans="1:12">
      <c r="A132" s="137"/>
      <c r="B132" s="9"/>
      <c r="C132" s="9"/>
      <c r="D132" s="13"/>
      <c r="E132" s="13"/>
      <c r="F132" s="13"/>
      <c r="G132" s="13"/>
      <c r="H132" s="13"/>
      <c r="I132" s="9"/>
      <c r="J132" s="17"/>
      <c r="K132" s="17"/>
      <c r="L132" s="17"/>
    </row>
    <row r="133" spans="1:12">
      <c r="A133" s="137"/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>
      <c r="A134" s="137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>
      <c r="A135" s="137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>
      <c r="A137" s="13"/>
      <c r="B137" s="25" t="s">
        <v>145</v>
      </c>
      <c r="C137" s="13"/>
      <c r="D137" s="25"/>
      <c r="E137" s="13"/>
      <c r="G137" s="25"/>
      <c r="H137" s="25" t="s">
        <v>145</v>
      </c>
      <c r="I137" s="13"/>
      <c r="J137" s="13"/>
      <c r="K137" s="13"/>
      <c r="L137" s="13"/>
    </row>
    <row r="138" spans="1:12" ht="17.25" customHeight="1">
      <c r="A138" s="221"/>
      <c r="B138" s="221"/>
      <c r="C138" s="221"/>
      <c r="D138" s="221"/>
      <c r="E138" s="221"/>
      <c r="F138" s="221"/>
      <c r="G138" s="221"/>
      <c r="H138" s="221"/>
      <c r="I138" s="221"/>
      <c r="J138" s="221"/>
      <c r="K138" s="221"/>
      <c r="L138" s="221"/>
    </row>
    <row r="139" spans="1:12">
      <c r="A139" s="9"/>
      <c r="B139" s="9"/>
      <c r="C139" s="9"/>
      <c r="D139" s="168" t="s">
        <v>246</v>
      </c>
      <c r="E139" s="13"/>
      <c r="F139" s="22">
        <f>+F120-F41</f>
        <v>0</v>
      </c>
      <c r="G139" s="22"/>
      <c r="H139" s="22">
        <f>+H120-H41</f>
        <v>0</v>
      </c>
      <c r="I139" s="9"/>
      <c r="J139" s="22">
        <f>+J120-J41</f>
        <v>0</v>
      </c>
      <c r="K139" s="22"/>
      <c r="L139" s="22">
        <f>+L120-L41</f>
        <v>0</v>
      </c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8:L138"/>
    <mergeCell ref="A97:L97"/>
    <mergeCell ref="F99:L99"/>
    <mergeCell ref="A58:C58"/>
    <mergeCell ref="A93:L93"/>
    <mergeCell ref="A96:L96"/>
    <mergeCell ref="A98:L98"/>
    <mergeCell ref="F100:H100"/>
    <mergeCell ref="J100:L100"/>
    <mergeCell ref="F54:H54"/>
    <mergeCell ref="J54:L54"/>
    <mergeCell ref="A47:L47"/>
    <mergeCell ref="A50:L50"/>
    <mergeCell ref="F53:L53"/>
    <mergeCell ref="A51:L51"/>
    <mergeCell ref="A52:L52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7" max="15" man="1"/>
    <brk id="9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8"/>
  <sheetViews>
    <sheetView view="pageBreakPreview" zoomScaleNormal="100" zoomScaleSheetLayoutView="100" workbookViewId="0">
      <selection activeCell="I141" sqref="I141"/>
    </sheetView>
  </sheetViews>
  <sheetFormatPr defaultColWidth="9.09765625" defaultRowHeight="17.5"/>
  <cols>
    <col min="1" max="1" width="35.09765625" style="9" customWidth="1"/>
    <col min="2" max="2" width="5.09765625" style="9" customWidth="1"/>
    <col min="3" max="3" width="1.09765625" style="9" customWidth="1"/>
    <col min="4" max="4" width="13.09765625" style="9" customWidth="1"/>
    <col min="5" max="5" width="1.09765625" style="9" customWidth="1"/>
    <col min="6" max="6" width="10.8984375" style="9" hidden="1" customWidth="1"/>
    <col min="7" max="7" width="1.09765625" style="9" hidden="1" customWidth="1"/>
    <col min="8" max="8" width="11.59765625" style="9" customWidth="1"/>
    <col min="9" max="9" width="1.09765625" style="9" customWidth="1"/>
    <col min="10" max="10" width="11.8984375" style="9" customWidth="1"/>
    <col min="11" max="11" width="0.8984375" style="9" customWidth="1"/>
    <col min="12" max="12" width="11.8984375" style="9" customWidth="1"/>
    <col min="13" max="13" width="1" style="9" customWidth="1"/>
    <col min="14" max="14" width="12.69921875" style="9" customWidth="1"/>
    <col min="15" max="15" width="1" style="9" customWidth="1"/>
    <col min="16" max="16" width="13.3984375" style="9" customWidth="1"/>
    <col min="17" max="17" width="1" style="9" customWidth="1"/>
    <col min="18" max="18" width="11.8984375" style="9" customWidth="1"/>
    <col min="19" max="19" width="1" style="9" customWidth="1"/>
    <col min="20" max="20" width="12.8984375" style="9" customWidth="1"/>
    <col min="21" max="21" width="1.09765625" style="9" customWidth="1"/>
    <col min="22" max="22" width="12.8984375" style="9" bestFit="1" customWidth="1"/>
    <col min="23" max="23" width="1.09765625" style="9" customWidth="1"/>
    <col min="24" max="24" width="11.8984375" style="9" bestFit="1" customWidth="1"/>
    <col min="25" max="25" width="1.09765625" style="9" customWidth="1"/>
    <col min="26" max="26" width="12.8984375" style="9" bestFit="1" customWidth="1"/>
    <col min="27" max="27" width="11.296875" style="9" hidden="1" customWidth="1"/>
    <col min="28" max="28" width="12.3984375" style="9" bestFit="1" customWidth="1"/>
    <col min="29" max="29" width="16.8984375" style="9" customWidth="1"/>
    <col min="30" max="16384" width="9.09765625" style="9"/>
  </cols>
  <sheetData>
    <row r="1" spans="1:29" ht="21.75" customHeight="1">
      <c r="A1" s="3"/>
      <c r="X1" s="226" t="s">
        <v>373</v>
      </c>
      <c r="Y1" s="226"/>
      <c r="Z1" s="226"/>
    </row>
    <row r="2" spans="1:29">
      <c r="A2" s="227" t="s">
        <v>131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</row>
    <row r="3" spans="1:29">
      <c r="A3" s="227" t="s">
        <v>261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18"/>
      <c r="AB3" s="18"/>
    </row>
    <row r="4" spans="1:29" ht="18" customHeight="1">
      <c r="A4" s="227" t="s">
        <v>207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</row>
    <row r="5" spans="1:29">
      <c r="A5" s="227" t="s">
        <v>352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</row>
    <row r="6" spans="1:29" ht="7.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>
      <c r="A7" s="29"/>
      <c r="B7" s="8"/>
      <c r="C7" s="8"/>
      <c r="D7" s="230" t="s">
        <v>166</v>
      </c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</row>
    <row r="8" spans="1:29">
      <c r="A8" s="29"/>
      <c r="B8" s="8"/>
      <c r="C8" s="8"/>
      <c r="D8" s="22"/>
      <c r="E8" s="22"/>
      <c r="F8" s="133"/>
      <c r="G8" s="133"/>
      <c r="H8" s="133"/>
      <c r="I8" s="22"/>
      <c r="J8" s="22"/>
      <c r="K8" s="22"/>
      <c r="L8" s="228" t="s">
        <v>153</v>
      </c>
      <c r="M8" s="228"/>
      <c r="N8" s="228"/>
      <c r="O8" s="14"/>
      <c r="P8" s="229" t="s">
        <v>231</v>
      </c>
      <c r="Q8" s="229"/>
      <c r="R8" s="229"/>
      <c r="S8" s="229"/>
      <c r="T8" s="229"/>
      <c r="U8" s="8"/>
      <c r="V8" s="160"/>
      <c r="W8" s="157"/>
      <c r="X8" s="161"/>
    </row>
    <row r="9" spans="1:29">
      <c r="D9" s="133"/>
      <c r="E9" s="14"/>
      <c r="F9" s="133"/>
      <c r="G9" s="133"/>
      <c r="H9" s="133"/>
      <c r="I9" s="14"/>
      <c r="J9" s="32" t="s">
        <v>290</v>
      </c>
      <c r="K9" s="14"/>
      <c r="O9" s="32"/>
      <c r="P9" s="32"/>
      <c r="Q9" s="32"/>
      <c r="R9" s="35" t="s">
        <v>305</v>
      </c>
      <c r="S9" s="35"/>
      <c r="T9" s="34"/>
      <c r="U9" s="14"/>
      <c r="V9" s="13" t="s">
        <v>259</v>
      </c>
      <c r="W9" s="34"/>
    </row>
    <row r="10" spans="1:29">
      <c r="B10" s="13"/>
      <c r="D10" s="32" t="s">
        <v>203</v>
      </c>
      <c r="E10" s="32"/>
      <c r="F10" s="32"/>
      <c r="G10" s="32"/>
      <c r="H10" s="32" t="s">
        <v>288</v>
      </c>
      <c r="I10" s="32"/>
      <c r="J10" s="32" t="s">
        <v>291</v>
      </c>
      <c r="K10" s="32"/>
      <c r="L10" s="32"/>
      <c r="M10" s="32"/>
      <c r="N10" s="32"/>
      <c r="O10" s="32"/>
      <c r="P10" s="32" t="s">
        <v>170</v>
      </c>
      <c r="Q10" s="32"/>
      <c r="R10" s="35" t="s">
        <v>306</v>
      </c>
      <c r="S10" s="35"/>
      <c r="T10" s="34" t="s">
        <v>233</v>
      </c>
      <c r="U10" s="14"/>
      <c r="V10" s="8" t="s">
        <v>258</v>
      </c>
      <c r="W10" s="34"/>
      <c r="X10" s="34" t="s">
        <v>229</v>
      </c>
    </row>
    <row r="11" spans="1:29">
      <c r="B11" s="13"/>
      <c r="D11" s="32" t="s">
        <v>167</v>
      </c>
      <c r="E11" s="32"/>
      <c r="F11" s="32"/>
      <c r="G11" s="32"/>
      <c r="H11" s="32" t="s">
        <v>289</v>
      </c>
      <c r="I11" s="32"/>
      <c r="J11" s="32" t="s">
        <v>292</v>
      </c>
      <c r="K11" s="32"/>
      <c r="L11" s="32" t="s">
        <v>174</v>
      </c>
      <c r="M11" s="32"/>
      <c r="N11" s="32"/>
      <c r="O11" s="32"/>
      <c r="P11" s="32" t="s">
        <v>171</v>
      </c>
      <c r="Q11" s="32"/>
      <c r="R11" s="35" t="s">
        <v>307</v>
      </c>
      <c r="S11" s="35"/>
      <c r="T11" s="32" t="s">
        <v>234</v>
      </c>
      <c r="U11" s="14"/>
      <c r="V11" s="8" t="s">
        <v>222</v>
      </c>
      <c r="W11" s="34"/>
      <c r="X11" s="34" t="s">
        <v>230</v>
      </c>
    </row>
    <row r="12" spans="1:29">
      <c r="B12" s="165" t="s">
        <v>221</v>
      </c>
      <c r="D12" s="202" t="s">
        <v>168</v>
      </c>
      <c r="E12" s="202"/>
      <c r="F12" s="202" t="s">
        <v>247</v>
      </c>
      <c r="G12" s="202"/>
      <c r="H12" s="202" t="s">
        <v>169</v>
      </c>
      <c r="I12" s="202"/>
      <c r="J12" s="202" t="s">
        <v>293</v>
      </c>
      <c r="K12" s="202"/>
      <c r="L12" s="202" t="s">
        <v>175</v>
      </c>
      <c r="M12" s="202"/>
      <c r="N12" s="202" t="s">
        <v>155</v>
      </c>
      <c r="O12" s="35"/>
      <c r="P12" s="202" t="s">
        <v>172</v>
      </c>
      <c r="Q12" s="35"/>
      <c r="R12" s="202" t="s">
        <v>308</v>
      </c>
      <c r="S12" s="35"/>
      <c r="T12" s="202" t="s">
        <v>232</v>
      </c>
      <c r="U12" s="14"/>
      <c r="V12" s="38" t="s">
        <v>223</v>
      </c>
      <c r="W12" s="34"/>
      <c r="X12" s="201" t="s">
        <v>251</v>
      </c>
      <c r="Z12" s="201" t="s">
        <v>176</v>
      </c>
      <c r="AC12" s="35"/>
    </row>
    <row r="13" spans="1:29">
      <c r="C13" s="35"/>
      <c r="D13" s="167"/>
      <c r="E13" s="167"/>
      <c r="F13" s="167"/>
      <c r="G13" s="167"/>
      <c r="H13" s="167"/>
      <c r="I13" s="167"/>
      <c r="J13" s="167"/>
      <c r="K13" s="167"/>
      <c r="L13" s="35"/>
      <c r="M13" s="35"/>
      <c r="N13" s="178"/>
      <c r="O13" s="167"/>
      <c r="P13" s="167"/>
      <c r="Q13" s="167"/>
      <c r="R13" s="35"/>
      <c r="S13" s="35"/>
      <c r="T13" s="35"/>
      <c r="U13" s="167"/>
      <c r="V13" s="35"/>
      <c r="W13" s="35"/>
      <c r="X13" s="35"/>
      <c r="Y13" s="167"/>
      <c r="Z13" s="178"/>
    </row>
    <row r="14" spans="1:29">
      <c r="A14" s="9" t="s">
        <v>338</v>
      </c>
      <c r="D14" s="22">
        <v>1031660147.25</v>
      </c>
      <c r="E14" s="22"/>
      <c r="F14" s="22">
        <v>0</v>
      </c>
      <c r="G14" s="22"/>
      <c r="H14" s="22">
        <v>669983717.94000006</v>
      </c>
      <c r="I14" s="22"/>
      <c r="J14" s="22">
        <v>29008465.079999998</v>
      </c>
      <c r="K14" s="22"/>
      <c r="L14" s="22">
        <v>97705272.879999995</v>
      </c>
      <c r="M14" s="22"/>
      <c r="N14" s="22">
        <v>1359033915.2500002</v>
      </c>
      <c r="O14" s="22"/>
      <c r="P14" s="22">
        <v>-8675530.0100000054</v>
      </c>
      <c r="Q14" s="22"/>
      <c r="R14" s="22">
        <v>0</v>
      </c>
      <c r="S14" s="22"/>
      <c r="T14" s="22">
        <f>SUM(P14:S14)</f>
        <v>-8675530.0100000054</v>
      </c>
      <c r="U14" s="22"/>
      <c r="V14" s="22">
        <f>SUM(D14:O14)+T14</f>
        <v>3178715988.3900003</v>
      </c>
      <c r="W14" s="22"/>
      <c r="X14" s="22">
        <v>171232833.56999999</v>
      </c>
      <c r="Y14" s="167"/>
      <c r="Z14" s="22">
        <f>SUM(V14:X14)</f>
        <v>3349948821.9600005</v>
      </c>
      <c r="AB14" s="167"/>
      <c r="AC14" s="167"/>
    </row>
    <row r="15" spans="1:29" ht="6.75" customHeight="1">
      <c r="B15" s="13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67"/>
      <c r="Z15" s="22"/>
    </row>
    <row r="16" spans="1:29">
      <c r="A16" s="9" t="s">
        <v>281</v>
      </c>
      <c r="B16" s="13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67"/>
      <c r="Z16" s="22"/>
    </row>
    <row r="17" spans="1:29">
      <c r="A17" s="9" t="s">
        <v>312</v>
      </c>
      <c r="B17" s="13"/>
      <c r="D17" s="22">
        <v>16893908.91</v>
      </c>
      <c r="E17" s="14"/>
      <c r="F17" s="22">
        <v>0</v>
      </c>
      <c r="G17" s="22"/>
      <c r="H17" s="22">
        <v>12114556.17</v>
      </c>
      <c r="I17" s="14"/>
      <c r="J17" s="22">
        <v>-29008465.079999998</v>
      </c>
      <c r="K17" s="22"/>
      <c r="L17" s="22">
        <v>0</v>
      </c>
      <c r="M17" s="22"/>
      <c r="N17" s="22">
        <v>0</v>
      </c>
      <c r="O17" s="22"/>
      <c r="P17" s="22">
        <v>0</v>
      </c>
      <c r="Q17" s="22"/>
      <c r="R17" s="22">
        <v>0</v>
      </c>
      <c r="S17" s="22"/>
      <c r="T17" s="22">
        <f t="shared" ref="T17" si="0">SUM(P17:S17)</f>
        <v>0</v>
      </c>
      <c r="U17" s="22"/>
      <c r="V17" s="22">
        <f t="shared" ref="V17" si="1">SUM(D17:O17)+T17</f>
        <v>0</v>
      </c>
      <c r="W17" s="22"/>
      <c r="X17" s="22">
        <v>0</v>
      </c>
      <c r="Y17" s="167"/>
      <c r="Z17" s="22">
        <f t="shared" ref="Z17" si="2">SUM(V17:X17)</f>
        <v>0</v>
      </c>
    </row>
    <row r="18" spans="1:29">
      <c r="A18" s="9" t="s">
        <v>313</v>
      </c>
      <c r="B18" s="13"/>
      <c r="D18" s="22">
        <v>0</v>
      </c>
      <c r="E18" s="14"/>
      <c r="F18" s="22">
        <v>0</v>
      </c>
      <c r="G18" s="22"/>
      <c r="H18" s="22">
        <v>0</v>
      </c>
      <c r="I18" s="14"/>
      <c r="J18" s="22">
        <v>130868.49</v>
      </c>
      <c r="K18" s="22"/>
      <c r="L18" s="22">
        <v>0</v>
      </c>
      <c r="M18" s="22"/>
      <c r="N18" s="22">
        <v>0</v>
      </c>
      <c r="O18" s="22"/>
      <c r="P18" s="22">
        <v>0</v>
      </c>
      <c r="Q18" s="22"/>
      <c r="R18" s="22">
        <v>0</v>
      </c>
      <c r="S18" s="22"/>
      <c r="T18" s="22">
        <f t="shared" ref="T18" si="3">SUM(P18:S18)</f>
        <v>0</v>
      </c>
      <c r="U18" s="22"/>
      <c r="V18" s="22">
        <f t="shared" ref="V18" si="4">SUM(D18:O18)+T18</f>
        <v>130868.49</v>
      </c>
      <c r="W18" s="22"/>
      <c r="X18" s="22">
        <v>0</v>
      </c>
      <c r="Y18" s="167"/>
      <c r="Z18" s="22">
        <f t="shared" ref="Z18" si="5">SUM(V18:X18)</f>
        <v>130868.49</v>
      </c>
    </row>
    <row r="19" spans="1:29" hidden="1">
      <c r="A19" s="9" t="s">
        <v>275</v>
      </c>
      <c r="B19" s="13"/>
      <c r="D19" s="22">
        <v>0</v>
      </c>
      <c r="E19" s="14"/>
      <c r="F19" s="22">
        <v>0</v>
      </c>
      <c r="G19" s="22"/>
      <c r="H19" s="22">
        <v>0</v>
      </c>
      <c r="I19" s="14"/>
      <c r="J19" s="22">
        <v>0</v>
      </c>
      <c r="K19" s="22"/>
      <c r="L19" s="22">
        <v>0</v>
      </c>
      <c r="M19" s="22"/>
      <c r="N19" s="22">
        <v>0</v>
      </c>
      <c r="O19" s="22"/>
      <c r="P19" s="22">
        <v>0</v>
      </c>
      <c r="Q19" s="22"/>
      <c r="R19" s="22">
        <v>0</v>
      </c>
      <c r="S19" s="22"/>
      <c r="T19" s="22">
        <f>SUM(P19:S19)</f>
        <v>0</v>
      </c>
      <c r="U19" s="22"/>
      <c r="V19" s="22">
        <f>SUM(D19:O19)+T19</f>
        <v>0</v>
      </c>
      <c r="W19" s="22"/>
      <c r="X19" s="22">
        <v>0</v>
      </c>
      <c r="Y19" s="167"/>
      <c r="Z19" s="22">
        <f>SUM(V19:X19)</f>
        <v>0</v>
      </c>
    </row>
    <row r="20" spans="1:29" hidden="1">
      <c r="A20" s="9" t="s">
        <v>314</v>
      </c>
      <c r="B20" s="13"/>
      <c r="D20" s="22">
        <v>0</v>
      </c>
      <c r="E20" s="14"/>
      <c r="F20" s="22">
        <v>0</v>
      </c>
      <c r="G20" s="22"/>
      <c r="H20" s="22">
        <v>0</v>
      </c>
      <c r="I20" s="14"/>
      <c r="J20" s="22">
        <v>0</v>
      </c>
      <c r="K20" s="22"/>
      <c r="L20" s="22">
        <v>0</v>
      </c>
      <c r="M20" s="22"/>
      <c r="N20" s="22">
        <f>-L20</f>
        <v>0</v>
      </c>
      <c r="O20" s="22"/>
      <c r="P20" s="22">
        <v>0</v>
      </c>
      <c r="Q20" s="22"/>
      <c r="R20" s="22">
        <v>0</v>
      </c>
      <c r="S20" s="22"/>
      <c r="T20" s="22">
        <f>SUM(P20:S20)</f>
        <v>0</v>
      </c>
      <c r="U20" s="22"/>
      <c r="V20" s="22">
        <f>SUM(D20:O20)+T20</f>
        <v>0</v>
      </c>
      <c r="W20" s="22"/>
      <c r="X20" s="22">
        <v>0</v>
      </c>
      <c r="Y20" s="167"/>
      <c r="Z20" s="22">
        <f>SUM(V20:X20)</f>
        <v>0</v>
      </c>
    </row>
    <row r="21" spans="1:29">
      <c r="A21" s="9" t="s">
        <v>367</v>
      </c>
      <c r="D21" s="22">
        <v>0</v>
      </c>
      <c r="E21" s="22"/>
      <c r="F21" s="22">
        <v>0</v>
      </c>
      <c r="G21" s="22"/>
      <c r="H21" s="22">
        <v>0</v>
      </c>
      <c r="I21" s="22"/>
      <c r="J21" s="22">
        <v>0</v>
      </c>
      <c r="K21" s="22"/>
      <c r="L21" s="14">
        <v>0</v>
      </c>
      <c r="M21" s="14"/>
      <c r="N21" s="14">
        <f>+'PL_Q1-66'!H37</f>
        <v>41117096.699999981</v>
      </c>
      <c r="O21" s="22"/>
      <c r="P21" s="22">
        <f>+'PL_Q1-66'!H69</f>
        <v>1292036.82</v>
      </c>
      <c r="Q21" s="22"/>
      <c r="R21" s="14">
        <v>-230282.4</v>
      </c>
      <c r="S21" s="14"/>
      <c r="T21" s="14">
        <f>SUM(P21:S21)</f>
        <v>1061754.4200000002</v>
      </c>
      <c r="U21" s="22"/>
      <c r="V21" s="22">
        <f>SUM(D21:O21)+T21</f>
        <v>42178851.119999982</v>
      </c>
      <c r="W21" s="22"/>
      <c r="X21" s="22">
        <f>+'PL_Q1-66'!H38</f>
        <v>-206172.73</v>
      </c>
      <c r="Y21" s="167"/>
      <c r="Z21" s="22">
        <f>SUM(V21:X21)</f>
        <v>41972678.389999986</v>
      </c>
      <c r="AB21" s="167">
        <f>N21-'PL_Q1-66'!H37</f>
        <v>0</v>
      </c>
    </row>
    <row r="22" spans="1:29">
      <c r="A22" s="9" t="s">
        <v>302</v>
      </c>
      <c r="D22" s="22"/>
      <c r="E22" s="22"/>
      <c r="F22" s="22"/>
      <c r="G22" s="22"/>
      <c r="H22" s="22"/>
      <c r="I22" s="22"/>
      <c r="J22" s="22"/>
      <c r="K22" s="22"/>
      <c r="L22" s="14"/>
      <c r="M22" s="14"/>
      <c r="N22" s="14"/>
      <c r="O22" s="22"/>
      <c r="P22" s="22"/>
      <c r="Q22" s="22"/>
      <c r="R22" s="14"/>
      <c r="S22" s="14"/>
      <c r="T22" s="14"/>
      <c r="U22" s="22"/>
      <c r="V22" s="22"/>
      <c r="W22" s="22"/>
      <c r="X22" s="22"/>
      <c r="Y22" s="167"/>
      <c r="Z22" s="22"/>
      <c r="AB22" s="167"/>
    </row>
    <row r="23" spans="1:29">
      <c r="A23" s="9" t="s">
        <v>303</v>
      </c>
      <c r="D23" s="22">
        <v>0</v>
      </c>
      <c r="E23" s="22"/>
      <c r="F23" s="22">
        <v>0</v>
      </c>
      <c r="G23" s="22"/>
      <c r="H23" s="22">
        <v>0</v>
      </c>
      <c r="I23" s="22"/>
      <c r="J23" s="22">
        <v>0</v>
      </c>
      <c r="K23" s="22"/>
      <c r="L23" s="14">
        <v>0</v>
      </c>
      <c r="M23" s="14"/>
      <c r="N23" s="14">
        <f>-R23</f>
        <v>-230282.4</v>
      </c>
      <c r="O23" s="22"/>
      <c r="P23" s="22">
        <f>+'PL_Q1-66'!F58</f>
        <v>0</v>
      </c>
      <c r="Q23" s="22"/>
      <c r="R23" s="14">
        <f>-R21</f>
        <v>230282.4</v>
      </c>
      <c r="S23" s="14"/>
      <c r="T23" s="14">
        <f>SUM(P23:S23)</f>
        <v>230282.4</v>
      </c>
      <c r="U23" s="22"/>
      <c r="V23" s="22">
        <f>SUM(D23:O23)+T23</f>
        <v>0</v>
      </c>
      <c r="W23" s="22"/>
      <c r="X23" s="22">
        <v>0</v>
      </c>
      <c r="Y23" s="167"/>
      <c r="Z23" s="22">
        <f>SUM(V23:X23)</f>
        <v>0</v>
      </c>
      <c r="AB23" s="167"/>
    </row>
    <row r="24" spans="1:29" ht="9.75" customHeight="1">
      <c r="B24" s="13"/>
      <c r="D24" s="169"/>
      <c r="E24" s="167"/>
      <c r="F24" s="169"/>
      <c r="G24" s="22"/>
      <c r="H24" s="169"/>
      <c r="I24" s="167"/>
      <c r="J24" s="169"/>
      <c r="K24" s="22"/>
      <c r="L24" s="169"/>
      <c r="M24" s="179"/>
      <c r="N24" s="169"/>
      <c r="O24" s="22"/>
      <c r="P24" s="169"/>
      <c r="Q24" s="22"/>
      <c r="R24" s="169"/>
      <c r="S24" s="22"/>
      <c r="T24" s="169"/>
      <c r="U24" s="167"/>
      <c r="V24" s="169"/>
      <c r="W24" s="22"/>
      <c r="X24" s="169"/>
      <c r="Y24" s="167"/>
      <c r="Z24" s="169"/>
    </row>
    <row r="25" spans="1:29" ht="10.5" customHeight="1"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22"/>
      <c r="W25" s="22"/>
      <c r="X25" s="22"/>
      <c r="Y25" s="167"/>
      <c r="Z25" s="167"/>
    </row>
    <row r="26" spans="1:29" ht="18" thickBot="1">
      <c r="A26" s="9" t="s">
        <v>353</v>
      </c>
      <c r="D26" s="180">
        <f>SUM(D14:D25)</f>
        <v>1048554056.16</v>
      </c>
      <c r="E26" s="14"/>
      <c r="F26" s="180">
        <f>SUM(F14:F25)</f>
        <v>0</v>
      </c>
      <c r="G26" s="22"/>
      <c r="H26" s="180">
        <f>SUM(H14:H25)</f>
        <v>682098274.11000001</v>
      </c>
      <c r="I26" s="14"/>
      <c r="J26" s="180">
        <f>SUM(J14:J25)</f>
        <v>130868.49</v>
      </c>
      <c r="K26" s="22"/>
      <c r="L26" s="180">
        <f>SUM(L14:L25)</f>
        <v>97705272.879999995</v>
      </c>
      <c r="M26" s="14"/>
      <c r="N26" s="180">
        <f>SUM(N14:N25)</f>
        <v>1399920729.5500002</v>
      </c>
      <c r="O26" s="22"/>
      <c r="P26" s="180">
        <f>SUM(P14:P25)</f>
        <v>-7383493.1900000051</v>
      </c>
      <c r="Q26" s="22"/>
      <c r="R26" s="180">
        <f>SUM(R14:R25)</f>
        <v>0</v>
      </c>
      <c r="S26" s="22"/>
      <c r="T26" s="180">
        <f>SUM(T14:T25)</f>
        <v>-7383493.1900000051</v>
      </c>
      <c r="U26" s="14"/>
      <c r="V26" s="180">
        <f>SUM(V14:V25)</f>
        <v>3221025708</v>
      </c>
      <c r="W26" s="22"/>
      <c r="X26" s="180">
        <f>SUM(X14:X25)</f>
        <v>171026660.84</v>
      </c>
      <c r="Y26" s="167"/>
      <c r="Z26" s="180">
        <f>SUM(Z14:Z25)</f>
        <v>3392052368.8400002</v>
      </c>
      <c r="AB26" s="167">
        <f>Z26-'BS_Q1-66'!H119</f>
        <v>716912836.96000004</v>
      </c>
      <c r="AC26" s="167">
        <f>N26-'BS_Q1-66'!H115</f>
        <v>759551568.11000001</v>
      </c>
    </row>
    <row r="27" spans="1:29" ht="12" customHeight="1" thickTop="1"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</row>
    <row r="28" spans="1:29">
      <c r="A28" s="9" t="s">
        <v>354</v>
      </c>
      <c r="D28" s="22">
        <v>1164401069.76</v>
      </c>
      <c r="E28" s="22"/>
      <c r="F28" s="22">
        <v>0</v>
      </c>
      <c r="G28" s="22"/>
      <c r="H28" s="22">
        <v>688264273.16999996</v>
      </c>
      <c r="I28" s="22"/>
      <c r="J28" s="22">
        <v>0</v>
      </c>
      <c r="K28" s="22"/>
      <c r="L28" s="22">
        <v>101508576.81</v>
      </c>
      <c r="M28" s="22"/>
      <c r="N28" s="22">
        <v>640369161.44000006</v>
      </c>
      <c r="O28" s="22"/>
      <c r="P28" s="22">
        <v>17740596.210000001</v>
      </c>
      <c r="Q28" s="22"/>
      <c r="R28" s="22">
        <v>0</v>
      </c>
      <c r="S28" s="22"/>
      <c r="T28" s="22">
        <f>SUM(P28:S28)</f>
        <v>17740596.210000001</v>
      </c>
      <c r="U28" s="22"/>
      <c r="V28" s="22">
        <f>SUM(D28:O28)+T28</f>
        <v>2612283677.3899999</v>
      </c>
      <c r="W28" s="22"/>
      <c r="X28" s="22">
        <v>62855854.490000002</v>
      </c>
      <c r="Y28" s="167"/>
      <c r="Z28" s="22">
        <f>SUM(V28:X28)</f>
        <v>2675139531.8799996</v>
      </c>
      <c r="AB28" s="167">
        <f>Z28-'BS_Q1-66'!H119</f>
        <v>0</v>
      </c>
    </row>
    <row r="29" spans="1:29" ht="9" customHeight="1">
      <c r="B29" s="13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67"/>
      <c r="Z29" s="22"/>
    </row>
    <row r="30" spans="1:29">
      <c r="A30" s="9" t="s">
        <v>281</v>
      </c>
      <c r="B30" s="1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67"/>
      <c r="Z30" s="22"/>
    </row>
    <row r="31" spans="1:29" hidden="1">
      <c r="A31" s="9" t="s">
        <v>312</v>
      </c>
      <c r="B31" s="13"/>
      <c r="D31" s="22">
        <v>0</v>
      </c>
      <c r="E31" s="14"/>
      <c r="F31" s="22">
        <v>0</v>
      </c>
      <c r="G31" s="22"/>
      <c r="H31" s="22">
        <v>0</v>
      </c>
      <c r="I31" s="14"/>
      <c r="J31" s="22">
        <v>0</v>
      </c>
      <c r="K31" s="22"/>
      <c r="L31" s="22">
        <v>0</v>
      </c>
      <c r="M31" s="22"/>
      <c r="N31" s="22">
        <v>0</v>
      </c>
      <c r="O31" s="22"/>
      <c r="P31" s="22">
        <v>0</v>
      </c>
      <c r="Q31" s="22"/>
      <c r="R31" s="22">
        <v>0</v>
      </c>
      <c r="S31" s="22"/>
      <c r="T31" s="22">
        <f t="shared" ref="T31:T33" si="6">SUM(P31:S31)</f>
        <v>0</v>
      </c>
      <c r="U31" s="22"/>
      <c r="V31" s="22">
        <f t="shared" ref="V31:V33" si="7">SUM(D31:O31)+T31</f>
        <v>0</v>
      </c>
      <c r="W31" s="22"/>
      <c r="X31" s="22">
        <v>0</v>
      </c>
      <c r="Y31" s="167"/>
      <c r="Z31" s="22">
        <f t="shared" ref="Z31:Z33" si="8">SUM(V31:X31)</f>
        <v>0</v>
      </c>
    </row>
    <row r="32" spans="1:29" hidden="1">
      <c r="A32" s="9" t="s">
        <v>339</v>
      </c>
      <c r="B32" s="13"/>
      <c r="D32" s="22">
        <v>0</v>
      </c>
      <c r="E32" s="14"/>
      <c r="F32" s="22">
        <v>0</v>
      </c>
      <c r="G32" s="22"/>
      <c r="H32" s="22">
        <v>0</v>
      </c>
      <c r="I32" s="14"/>
      <c r="J32" s="22">
        <v>0</v>
      </c>
      <c r="K32" s="22"/>
      <c r="L32" s="22">
        <v>0</v>
      </c>
      <c r="M32" s="22"/>
      <c r="N32" s="22">
        <f>-D32</f>
        <v>0</v>
      </c>
      <c r="O32" s="22"/>
      <c r="P32" s="22">
        <v>0</v>
      </c>
      <c r="Q32" s="22"/>
      <c r="R32" s="22">
        <v>0</v>
      </c>
      <c r="S32" s="22"/>
      <c r="T32" s="22">
        <f t="shared" ref="T32" si="9">SUM(P32:S32)</f>
        <v>0</v>
      </c>
      <c r="U32" s="22"/>
      <c r="V32" s="22">
        <f t="shared" ref="V32" si="10">SUM(D32:O32)+T32</f>
        <v>0</v>
      </c>
      <c r="W32" s="22"/>
      <c r="X32" s="22">
        <v>0</v>
      </c>
      <c r="Y32" s="167"/>
      <c r="Z32" s="22">
        <f t="shared" ref="Z32" si="11">SUM(V32:X32)</f>
        <v>0</v>
      </c>
    </row>
    <row r="33" spans="1:30" hidden="1">
      <c r="A33" s="9" t="s">
        <v>313</v>
      </c>
      <c r="B33" s="13"/>
      <c r="D33" s="22">
        <v>0</v>
      </c>
      <c r="E33" s="14"/>
      <c r="F33" s="22">
        <v>0</v>
      </c>
      <c r="G33" s="22"/>
      <c r="H33" s="22">
        <v>0</v>
      </c>
      <c r="I33" s="14"/>
      <c r="J33" s="22">
        <v>0</v>
      </c>
      <c r="K33" s="22"/>
      <c r="L33" s="22">
        <v>0</v>
      </c>
      <c r="M33" s="22"/>
      <c r="N33" s="22">
        <v>0</v>
      </c>
      <c r="O33" s="22"/>
      <c r="P33" s="22">
        <v>0</v>
      </c>
      <c r="Q33" s="22"/>
      <c r="R33" s="22">
        <v>0</v>
      </c>
      <c r="S33" s="22"/>
      <c r="T33" s="22">
        <f t="shared" si="6"/>
        <v>0</v>
      </c>
      <c r="U33" s="22"/>
      <c r="V33" s="22">
        <f t="shared" si="7"/>
        <v>0</v>
      </c>
      <c r="W33" s="22"/>
      <c r="X33" s="22">
        <v>0</v>
      </c>
      <c r="Y33" s="167"/>
      <c r="Z33" s="22">
        <f t="shared" si="8"/>
        <v>0</v>
      </c>
    </row>
    <row r="34" spans="1:30" hidden="1">
      <c r="A34" s="9" t="s">
        <v>275</v>
      </c>
      <c r="B34" s="13"/>
      <c r="D34" s="22">
        <v>0</v>
      </c>
      <c r="E34" s="14"/>
      <c r="F34" s="22">
        <v>0</v>
      </c>
      <c r="G34" s="22"/>
      <c r="H34" s="22">
        <v>0</v>
      </c>
      <c r="I34" s="14"/>
      <c r="J34" s="22">
        <v>0</v>
      </c>
      <c r="K34" s="22"/>
      <c r="L34" s="22">
        <v>0</v>
      </c>
      <c r="M34" s="22"/>
      <c r="N34" s="22">
        <v>0</v>
      </c>
      <c r="O34" s="22"/>
      <c r="P34" s="22">
        <v>0</v>
      </c>
      <c r="Q34" s="22"/>
      <c r="R34" s="22">
        <v>0</v>
      </c>
      <c r="S34" s="22"/>
      <c r="T34" s="22">
        <f>SUM(P34:S34)</f>
        <v>0</v>
      </c>
      <c r="U34" s="22"/>
      <c r="V34" s="22">
        <f>SUM(D34:O34)+T34</f>
        <v>0</v>
      </c>
      <c r="W34" s="22"/>
      <c r="X34" s="22">
        <v>0</v>
      </c>
      <c r="Y34" s="167"/>
      <c r="Z34" s="22">
        <f>SUM(V34:X34)</f>
        <v>0</v>
      </c>
    </row>
    <row r="35" spans="1:30" hidden="1">
      <c r="A35" s="9" t="s">
        <v>314</v>
      </c>
      <c r="B35" s="13"/>
      <c r="D35" s="22">
        <v>0</v>
      </c>
      <c r="E35" s="14"/>
      <c r="F35" s="22">
        <v>0</v>
      </c>
      <c r="G35" s="22"/>
      <c r="H35" s="22">
        <v>0</v>
      </c>
      <c r="I35" s="14"/>
      <c r="J35" s="22">
        <v>0</v>
      </c>
      <c r="K35" s="22"/>
      <c r="L35" s="22">
        <v>0</v>
      </c>
      <c r="M35" s="22"/>
      <c r="N35" s="22">
        <f>-L35</f>
        <v>0</v>
      </c>
      <c r="O35" s="22"/>
      <c r="P35" s="22">
        <v>0</v>
      </c>
      <c r="Q35" s="22"/>
      <c r="R35" s="22">
        <v>0</v>
      </c>
      <c r="S35" s="22"/>
      <c r="T35" s="22">
        <f>SUM(P35:S35)</f>
        <v>0</v>
      </c>
      <c r="U35" s="22"/>
      <c r="V35" s="22">
        <f>SUM(D35:O35)+T35</f>
        <v>0</v>
      </c>
      <c r="W35" s="22"/>
      <c r="X35" s="22">
        <v>0</v>
      </c>
      <c r="Y35" s="167"/>
      <c r="Z35" s="22">
        <f>SUM(V35:X35)</f>
        <v>0</v>
      </c>
    </row>
    <row r="36" spans="1:30">
      <c r="A36" s="9" t="s">
        <v>367</v>
      </c>
      <c r="D36" s="22">
        <v>0</v>
      </c>
      <c r="E36" s="22"/>
      <c r="F36" s="22">
        <v>0</v>
      </c>
      <c r="G36" s="22"/>
      <c r="H36" s="22">
        <v>0</v>
      </c>
      <c r="I36" s="22"/>
      <c r="J36" s="22">
        <v>0</v>
      </c>
      <c r="K36" s="22"/>
      <c r="L36" s="14">
        <v>0</v>
      </c>
      <c r="M36" s="14"/>
      <c r="N36" s="14">
        <f>+'PL_Q1-66'!F37</f>
        <v>88419301.730000004</v>
      </c>
      <c r="O36" s="22"/>
      <c r="P36" s="22">
        <f>+'PL_Q1-66'!F69</f>
        <v>477033.67</v>
      </c>
      <c r="Q36" s="22"/>
      <c r="R36" s="14">
        <v>0</v>
      </c>
      <c r="S36" s="14"/>
      <c r="T36" s="14">
        <f>SUM(P36:S36)</f>
        <v>477033.67</v>
      </c>
      <c r="U36" s="22"/>
      <c r="V36" s="22">
        <f>SUM(D36:O36)+T36</f>
        <v>88896335.400000006</v>
      </c>
      <c r="W36" s="22"/>
      <c r="X36" s="22">
        <f>+'PL_Q1-66'!F38</f>
        <v>-214804.89</v>
      </c>
      <c r="Y36" s="167"/>
      <c r="Z36" s="22">
        <f>SUM(V36:X36)</f>
        <v>88681530.510000005</v>
      </c>
    </row>
    <row r="37" spans="1:30" hidden="1">
      <c r="A37" s="9" t="s">
        <v>302</v>
      </c>
      <c r="D37" s="22"/>
      <c r="E37" s="22"/>
      <c r="F37" s="22"/>
      <c r="G37" s="22"/>
      <c r="H37" s="22"/>
      <c r="I37" s="22"/>
      <c r="J37" s="22"/>
      <c r="K37" s="22"/>
      <c r="L37" s="14"/>
      <c r="M37" s="14"/>
      <c r="N37" s="14"/>
      <c r="O37" s="22"/>
      <c r="P37" s="22"/>
      <c r="Q37" s="22"/>
      <c r="R37" s="14"/>
      <c r="S37" s="14"/>
      <c r="T37" s="14"/>
      <c r="U37" s="22"/>
      <c r="V37" s="22"/>
      <c r="W37" s="22"/>
      <c r="X37" s="22"/>
      <c r="Y37" s="167"/>
      <c r="Z37" s="22"/>
    </row>
    <row r="38" spans="1:30" hidden="1">
      <c r="A38" s="9" t="s">
        <v>303</v>
      </c>
      <c r="D38" s="22">
        <v>0</v>
      </c>
      <c r="E38" s="22"/>
      <c r="F38" s="22">
        <v>0</v>
      </c>
      <c r="G38" s="22"/>
      <c r="H38" s="22">
        <v>0</v>
      </c>
      <c r="I38" s="22"/>
      <c r="J38" s="22">
        <v>0</v>
      </c>
      <c r="K38" s="22"/>
      <c r="L38" s="14">
        <v>0</v>
      </c>
      <c r="M38" s="14"/>
      <c r="N38" s="14">
        <f>-R38</f>
        <v>0</v>
      </c>
      <c r="O38" s="22"/>
      <c r="P38" s="22">
        <v>0</v>
      </c>
      <c r="Q38" s="22"/>
      <c r="R38" s="14">
        <f>-R36</f>
        <v>0</v>
      </c>
      <c r="S38" s="14"/>
      <c r="T38" s="14">
        <f>SUM(P38:S38)</f>
        <v>0</v>
      </c>
      <c r="U38" s="22"/>
      <c r="V38" s="22">
        <f>SUM(D38:O38)+T38</f>
        <v>0</v>
      </c>
      <c r="W38" s="22"/>
      <c r="X38" s="22">
        <v>0</v>
      </c>
      <c r="Y38" s="167"/>
      <c r="Z38" s="22">
        <f>SUM(V38:X38)</f>
        <v>0</v>
      </c>
    </row>
    <row r="39" spans="1:30" ht="9.75" customHeight="1">
      <c r="B39" s="13"/>
      <c r="D39" s="169"/>
      <c r="E39" s="167"/>
      <c r="F39" s="169"/>
      <c r="G39" s="22"/>
      <c r="H39" s="169"/>
      <c r="I39" s="167"/>
      <c r="J39" s="169"/>
      <c r="K39" s="22"/>
      <c r="L39" s="169"/>
      <c r="M39" s="179"/>
      <c r="N39" s="169"/>
      <c r="O39" s="22"/>
      <c r="P39" s="169"/>
      <c r="Q39" s="22"/>
      <c r="R39" s="169"/>
      <c r="S39" s="22"/>
      <c r="T39" s="169"/>
      <c r="U39" s="167"/>
      <c r="V39" s="169"/>
      <c r="W39" s="22"/>
      <c r="X39" s="169"/>
      <c r="Y39" s="167"/>
      <c r="Z39" s="169"/>
    </row>
    <row r="40" spans="1:30" ht="11.25" customHeight="1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22"/>
      <c r="W40" s="22"/>
      <c r="X40" s="22"/>
      <c r="Y40" s="167"/>
      <c r="Z40" s="167"/>
    </row>
    <row r="41" spans="1:30" ht="18" thickBot="1">
      <c r="A41" s="9" t="s">
        <v>355</v>
      </c>
      <c r="D41" s="180">
        <f>SUM(D28:D40)</f>
        <v>1164401069.76</v>
      </c>
      <c r="E41" s="14"/>
      <c r="F41" s="180">
        <f>SUM(F28:F40)</f>
        <v>0</v>
      </c>
      <c r="G41" s="22"/>
      <c r="H41" s="180">
        <f>SUM(H28:H40)</f>
        <v>688264273.16999996</v>
      </c>
      <c r="I41" s="14"/>
      <c r="J41" s="180">
        <f>SUM(J28:J40)</f>
        <v>0</v>
      </c>
      <c r="K41" s="22"/>
      <c r="L41" s="180">
        <f>SUM(L28:L40)</f>
        <v>101508576.81</v>
      </c>
      <c r="M41" s="14"/>
      <c r="N41" s="180">
        <f>SUM(N28:N40)</f>
        <v>728788463.17000008</v>
      </c>
      <c r="O41" s="22"/>
      <c r="P41" s="180">
        <f>SUM(P28:P40)</f>
        <v>18217629.880000003</v>
      </c>
      <c r="Q41" s="22"/>
      <c r="R41" s="180">
        <f>SUM(R28:R40)</f>
        <v>0</v>
      </c>
      <c r="S41" s="22"/>
      <c r="T41" s="180">
        <f>SUM(T28:T40)</f>
        <v>18217629.880000003</v>
      </c>
      <c r="U41" s="14"/>
      <c r="V41" s="180">
        <f>SUM(V28:V40)</f>
        <v>2701180012.79</v>
      </c>
      <c r="W41" s="22"/>
      <c r="X41" s="180">
        <f>SUM(X28:X40)</f>
        <v>62641049.600000001</v>
      </c>
      <c r="Y41" s="167"/>
      <c r="Z41" s="180">
        <f>SUM(Z28:Z40)</f>
        <v>2763821062.3899999</v>
      </c>
      <c r="AB41" s="18">
        <f>Z41-'BS_Q1-66'!F119</f>
        <v>0</v>
      </c>
      <c r="AC41" s="167">
        <f>N41-'BS_Q1-66'!F115</f>
        <v>0</v>
      </c>
      <c r="AD41" s="167">
        <f>L41-'BS_Q1-66'!F114</f>
        <v>0</v>
      </c>
    </row>
    <row r="42" spans="1:30" ht="18" thickTop="1"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B42" s="167">
        <f>N41-'BS_Q1-66'!F115</f>
        <v>0</v>
      </c>
    </row>
    <row r="43" spans="1:30">
      <c r="A43" s="9" t="str">
        <f>+'BS_Q1-66'!A122</f>
        <v>The accompanying interim notes to financial statements are an integral part of these interim financial statements.</v>
      </c>
    </row>
    <row r="44" spans="1:30">
      <c r="A44" s="137"/>
    </row>
    <row r="46" spans="1:30" s="3" customFormat="1">
      <c r="A46" s="25" t="s">
        <v>145</v>
      </c>
      <c r="C46" s="13"/>
      <c r="D46" s="25"/>
      <c r="E46" s="13"/>
      <c r="F46" s="13"/>
      <c r="G46" s="13"/>
      <c r="H46" s="13"/>
      <c r="I46" s="13"/>
      <c r="K46" s="25"/>
      <c r="L46" s="25"/>
      <c r="M46" s="25"/>
      <c r="N46" s="25"/>
      <c r="O46" s="25"/>
      <c r="P46" s="25"/>
      <c r="Q46" s="25"/>
      <c r="R46" s="25" t="s">
        <v>145</v>
      </c>
      <c r="S46" s="25"/>
      <c r="T46" s="25"/>
      <c r="U46" s="13"/>
      <c r="V46" s="13"/>
      <c r="W46" s="13"/>
      <c r="X46" s="13"/>
      <c r="Y46" s="13"/>
      <c r="AB46" s="7"/>
    </row>
    <row r="47" spans="1:30" s="3" customFormat="1">
      <c r="A47" s="221"/>
      <c r="B47" s="221"/>
      <c r="D47" s="25"/>
      <c r="E47" s="25"/>
      <c r="F47" s="25"/>
      <c r="G47" s="25"/>
      <c r="H47" s="25"/>
      <c r="I47" s="25"/>
      <c r="J47" s="25"/>
      <c r="K47" s="25"/>
      <c r="L47" s="13"/>
      <c r="M47" s="25"/>
      <c r="N47" s="13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AB47" s="7"/>
    </row>
    <row r="48" spans="1:30">
      <c r="A48" s="26"/>
    </row>
  </sheetData>
  <mergeCells count="9">
    <mergeCell ref="X1:Z1"/>
    <mergeCell ref="A47:B47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77" orientation="landscape" r:id="rId1"/>
  <headerFooter alignWithMargins="0">
    <oddFooter>&amp;C4</oddFooter>
  </headerFooter>
  <colBreaks count="1" manualBreakCount="1">
    <brk id="26" max="42" man="1"/>
  </colBreaks>
  <ignoredErrors>
    <ignoredError sqref="V33:V34 V15:V16 V28:V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6"/>
  <sheetViews>
    <sheetView view="pageBreakPreview" zoomScale="110" zoomScaleNormal="100" zoomScaleSheetLayoutView="110" workbookViewId="0">
      <selection activeCell="I141" sqref="I141"/>
    </sheetView>
  </sheetViews>
  <sheetFormatPr defaultColWidth="9.09765625" defaultRowHeight="20"/>
  <cols>
    <col min="1" max="1" width="41.296875" style="89" customWidth="1"/>
    <col min="2" max="2" width="4.8984375" style="89" customWidth="1"/>
    <col min="3" max="3" width="1.3984375" style="89" customWidth="1"/>
    <col min="4" max="4" width="14.59765625" style="89" customWidth="1"/>
    <col min="5" max="5" width="1.3984375" style="89" customWidth="1"/>
    <col min="6" max="6" width="14.3984375" style="89" hidden="1" customWidth="1"/>
    <col min="7" max="7" width="1.59765625" style="89" hidden="1" customWidth="1"/>
    <col min="8" max="8" width="14.3984375" style="89" customWidth="1"/>
    <col min="9" max="9" width="1.296875" style="89" customWidth="1"/>
    <col min="10" max="10" width="14.09765625" style="89" customWidth="1"/>
    <col min="11" max="11" width="1.3984375" style="89" hidden="1" customWidth="1"/>
    <col min="12" max="12" width="12.09765625" style="89" hidden="1" customWidth="1"/>
    <col min="13" max="13" width="1.3984375" style="89" hidden="1" customWidth="1"/>
    <col min="14" max="14" width="11.8984375" style="89" hidden="1" customWidth="1"/>
    <col min="15" max="15" width="1.3984375" style="89" hidden="1" customWidth="1"/>
    <col min="16" max="16" width="11.8984375" style="89" hidden="1" customWidth="1"/>
    <col min="17" max="17" width="1.3984375" style="89" customWidth="1"/>
    <col min="18" max="18" width="13.69921875" style="89" customWidth="1"/>
    <col min="19" max="19" width="1.3984375" style="89" customWidth="1"/>
    <col min="20" max="20" width="15" style="89" bestFit="1" customWidth="1"/>
    <col min="21" max="21" width="1.09765625" style="89" customWidth="1"/>
    <col min="22" max="22" width="21.8984375" style="89" bestFit="1" customWidth="1"/>
    <col min="23" max="23" width="1.3984375" style="89" customWidth="1"/>
    <col min="24" max="24" width="15.296875" style="89" customWidth="1"/>
    <col min="25" max="25" width="12.8984375" style="89" bestFit="1" customWidth="1"/>
    <col min="26" max="26" width="10.59765625" style="89" bestFit="1" customWidth="1"/>
    <col min="27" max="16384" width="9.09765625" style="89"/>
  </cols>
  <sheetData>
    <row r="1" spans="1:26" ht="21.75" customHeight="1">
      <c r="A1" s="139"/>
      <c r="V1" s="232" t="s">
        <v>373</v>
      </c>
      <c r="W1" s="232"/>
      <c r="X1" s="232"/>
    </row>
    <row r="2" spans="1:26" ht="6.75" customHeight="1">
      <c r="X2" s="138"/>
    </row>
    <row r="3" spans="1:26">
      <c r="A3" s="234" t="str">
        <f>'Changed-Conso'!A2</f>
        <v>THE BROOKER GROUP PUBLIC COMPANY LIMITED AND ITS SUBSIDIARIES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143"/>
    </row>
    <row r="4" spans="1:26">
      <c r="A4" s="235" t="str">
        <f>'Changed-Conso'!A3</f>
        <v>STATEMENTS OF CHANGES IN SHAREHOLDERS' EQUITY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</row>
    <row r="5" spans="1:26">
      <c r="A5" s="235" t="s">
        <v>208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</row>
    <row r="6" spans="1:26">
      <c r="A6" s="235" t="s">
        <v>352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</row>
    <row r="7" spans="1:26">
      <c r="D7" s="233" t="s">
        <v>215</v>
      </c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</row>
    <row r="8" spans="1:26">
      <c r="B8" s="87"/>
      <c r="C8" s="87"/>
      <c r="D8" s="140"/>
      <c r="E8" s="140"/>
      <c r="F8" s="193"/>
      <c r="G8" s="193"/>
      <c r="H8" s="193"/>
      <c r="I8" s="140"/>
      <c r="J8" s="87" t="s">
        <v>290</v>
      </c>
      <c r="K8" s="140"/>
      <c r="L8" s="144" t="s">
        <v>194</v>
      </c>
      <c r="M8" s="145"/>
      <c r="N8" s="145"/>
      <c r="O8" s="145"/>
      <c r="P8" s="145"/>
      <c r="Q8" s="145"/>
      <c r="R8" s="231" t="s">
        <v>220</v>
      </c>
      <c r="S8" s="231"/>
      <c r="T8" s="231"/>
      <c r="U8" s="86"/>
      <c r="V8" s="86" t="s">
        <v>278</v>
      </c>
      <c r="W8" s="86"/>
    </row>
    <row r="9" spans="1:26">
      <c r="D9" s="87" t="s">
        <v>203</v>
      </c>
      <c r="E9" s="145"/>
      <c r="F9" s="193"/>
      <c r="G9" s="193"/>
      <c r="H9" s="87" t="s">
        <v>288</v>
      </c>
      <c r="I9" s="145"/>
      <c r="J9" s="87" t="s">
        <v>291</v>
      </c>
      <c r="K9" s="145"/>
      <c r="L9" s="144" t="s">
        <v>193</v>
      </c>
      <c r="M9" s="144"/>
      <c r="N9" s="144" t="s">
        <v>196</v>
      </c>
      <c r="O9" s="144"/>
      <c r="P9" s="144" t="s">
        <v>170</v>
      </c>
      <c r="Q9" s="145"/>
      <c r="V9" s="203" t="s">
        <v>232</v>
      </c>
      <c r="W9" s="86"/>
    </row>
    <row r="10" spans="1:26">
      <c r="D10" s="87" t="s">
        <v>167</v>
      </c>
      <c r="E10" s="146"/>
      <c r="F10" s="193"/>
      <c r="G10" s="193"/>
      <c r="H10" s="87" t="s">
        <v>289</v>
      </c>
      <c r="I10" s="146"/>
      <c r="J10" s="193" t="s">
        <v>292</v>
      </c>
      <c r="K10" s="144"/>
      <c r="L10" s="144" t="s">
        <v>177</v>
      </c>
      <c r="M10" s="144"/>
      <c r="N10" s="98" t="s">
        <v>197</v>
      </c>
      <c r="O10" s="144"/>
      <c r="P10" s="144" t="s">
        <v>171</v>
      </c>
      <c r="Q10" s="145"/>
      <c r="R10" s="87" t="s">
        <v>174</v>
      </c>
      <c r="S10" s="147"/>
      <c r="T10" s="84"/>
      <c r="U10" s="84"/>
      <c r="V10" s="149" t="s">
        <v>279</v>
      </c>
      <c r="W10" s="84"/>
    </row>
    <row r="11" spans="1:26">
      <c r="B11" s="159" t="s">
        <v>221</v>
      </c>
      <c r="D11" s="97" t="s">
        <v>168</v>
      </c>
      <c r="E11" s="148"/>
      <c r="F11" s="192" t="s">
        <v>247</v>
      </c>
      <c r="G11" s="98"/>
      <c r="H11" s="97" t="s">
        <v>169</v>
      </c>
      <c r="I11" s="148"/>
      <c r="J11" s="97" t="s">
        <v>293</v>
      </c>
      <c r="K11" s="149"/>
      <c r="L11" s="203" t="s">
        <v>178</v>
      </c>
      <c r="M11" s="149"/>
      <c r="N11" s="203" t="s">
        <v>198</v>
      </c>
      <c r="O11" s="149"/>
      <c r="P11" s="203" t="s">
        <v>172</v>
      </c>
      <c r="Q11" s="145"/>
      <c r="R11" s="97" t="s">
        <v>175</v>
      </c>
      <c r="S11" s="147"/>
      <c r="T11" s="97" t="s">
        <v>155</v>
      </c>
      <c r="U11" s="87"/>
      <c r="V11" s="203" t="s">
        <v>280</v>
      </c>
      <c r="W11" s="86"/>
      <c r="X11" s="97" t="s">
        <v>176</v>
      </c>
    </row>
    <row r="12" spans="1:26">
      <c r="C12" s="149"/>
      <c r="F12" s="162"/>
      <c r="G12" s="196"/>
      <c r="R12" s="86"/>
      <c r="S12" s="149"/>
      <c r="T12" s="150"/>
      <c r="U12" s="150"/>
      <c r="V12" s="150"/>
      <c r="W12" s="148"/>
      <c r="X12" s="150"/>
    </row>
    <row r="13" spans="1:26">
      <c r="A13" s="85" t="s">
        <v>338</v>
      </c>
      <c r="D13" s="140">
        <v>1031660147.25</v>
      </c>
      <c r="E13" s="140"/>
      <c r="F13" s="140">
        <v>0</v>
      </c>
      <c r="G13" s="140"/>
      <c r="H13" s="140">
        <v>669983717.94000006</v>
      </c>
      <c r="I13" s="140"/>
      <c r="J13" s="140">
        <v>29008465.079999998</v>
      </c>
      <c r="K13" s="140"/>
      <c r="L13" s="145">
        <v>0</v>
      </c>
      <c r="M13" s="140"/>
      <c r="N13" s="140">
        <v>0</v>
      </c>
      <c r="O13" s="140"/>
      <c r="P13" s="140">
        <v>0</v>
      </c>
      <c r="Q13" s="140"/>
      <c r="R13" s="140">
        <v>97705272.88000001</v>
      </c>
      <c r="S13" s="140"/>
      <c r="T13" s="140">
        <v>1136122775.5899997</v>
      </c>
      <c r="U13" s="140"/>
      <c r="V13" s="140">
        <v>0</v>
      </c>
      <c r="W13" s="140"/>
      <c r="X13" s="140">
        <f>SUM(D13:V13)</f>
        <v>2964480378.7399998</v>
      </c>
      <c r="Y13" s="177"/>
      <c r="Z13" s="145"/>
    </row>
    <row r="14" spans="1:26" ht="9" customHeight="1"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140"/>
      <c r="T14" s="140"/>
      <c r="U14" s="140"/>
      <c r="V14" s="22"/>
      <c r="W14" s="140"/>
      <c r="X14" s="140"/>
      <c r="Z14" s="145"/>
    </row>
    <row r="15" spans="1:26">
      <c r="A15" s="89" t="s">
        <v>282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140"/>
      <c r="T15" s="140"/>
      <c r="U15" s="140"/>
      <c r="V15" s="22"/>
      <c r="W15" s="140"/>
      <c r="X15" s="140"/>
      <c r="Z15" s="145"/>
    </row>
    <row r="16" spans="1:26">
      <c r="A16" s="89" t="s">
        <v>315</v>
      </c>
      <c r="B16" s="197"/>
      <c r="D16" s="145">
        <v>16893908.91</v>
      </c>
      <c r="E16" s="145"/>
      <c r="F16" s="145">
        <v>0</v>
      </c>
      <c r="G16" s="145"/>
      <c r="H16" s="145">
        <v>12114556.17</v>
      </c>
      <c r="I16" s="145"/>
      <c r="J16" s="145">
        <v>-29008465.079999998</v>
      </c>
      <c r="K16" s="145"/>
      <c r="L16" s="145">
        <v>0</v>
      </c>
      <c r="M16" s="145"/>
      <c r="N16" s="140">
        <v>0</v>
      </c>
      <c r="O16" s="145"/>
      <c r="P16" s="145">
        <v>0</v>
      </c>
      <c r="Q16" s="145"/>
      <c r="R16" s="145">
        <v>0</v>
      </c>
      <c r="S16" s="145"/>
      <c r="T16" s="145">
        <v>0</v>
      </c>
      <c r="U16" s="145"/>
      <c r="V16" s="145">
        <v>0</v>
      </c>
      <c r="W16" s="145"/>
      <c r="X16" s="140">
        <f t="shared" ref="X16:X18" si="0">SUM(D16:V16)</f>
        <v>0</v>
      </c>
      <c r="Z16" s="145"/>
    </row>
    <row r="17" spans="1:26" hidden="1">
      <c r="A17" s="89" t="s">
        <v>330</v>
      </c>
      <c r="B17" s="197"/>
      <c r="D17" s="145">
        <v>0</v>
      </c>
      <c r="E17" s="145"/>
      <c r="F17" s="145">
        <v>0</v>
      </c>
      <c r="G17" s="145"/>
      <c r="H17" s="145">
        <v>0</v>
      </c>
      <c r="I17" s="145"/>
      <c r="J17" s="145">
        <v>0</v>
      </c>
      <c r="K17" s="145"/>
      <c r="L17" s="145">
        <v>0</v>
      </c>
      <c r="M17" s="145"/>
      <c r="N17" s="140">
        <v>0</v>
      </c>
      <c r="O17" s="145"/>
      <c r="P17" s="145">
        <v>0</v>
      </c>
      <c r="Q17" s="145"/>
      <c r="R17" s="145">
        <v>0</v>
      </c>
      <c r="S17" s="145"/>
      <c r="T17" s="145">
        <v>0</v>
      </c>
      <c r="U17" s="145"/>
      <c r="V17" s="145">
        <v>0</v>
      </c>
      <c r="W17" s="145"/>
      <c r="X17" s="140">
        <f t="shared" si="0"/>
        <v>0</v>
      </c>
      <c r="Z17" s="145"/>
    </row>
    <row r="18" spans="1:26">
      <c r="A18" s="89" t="s">
        <v>316</v>
      </c>
      <c r="B18" s="197"/>
      <c r="D18" s="145">
        <v>0</v>
      </c>
      <c r="E18" s="145"/>
      <c r="F18" s="145">
        <v>0</v>
      </c>
      <c r="G18" s="145"/>
      <c r="H18" s="145">
        <v>0</v>
      </c>
      <c r="I18" s="145"/>
      <c r="J18" s="145">
        <v>130868.49</v>
      </c>
      <c r="K18" s="145"/>
      <c r="L18" s="145">
        <v>0</v>
      </c>
      <c r="M18" s="145"/>
      <c r="N18" s="140">
        <v>0</v>
      </c>
      <c r="O18" s="145"/>
      <c r="P18" s="145">
        <v>0</v>
      </c>
      <c r="Q18" s="145"/>
      <c r="R18" s="145">
        <v>0</v>
      </c>
      <c r="S18" s="145"/>
      <c r="T18" s="145">
        <v>0</v>
      </c>
      <c r="U18" s="145"/>
      <c r="V18" s="145">
        <v>0</v>
      </c>
      <c r="W18" s="145"/>
      <c r="X18" s="140">
        <f t="shared" si="0"/>
        <v>130868.49</v>
      </c>
      <c r="Z18" s="145"/>
    </row>
    <row r="19" spans="1:26" hidden="1">
      <c r="A19" s="163" t="s">
        <v>309</v>
      </c>
      <c r="B19" s="197"/>
      <c r="C19" s="145"/>
      <c r="D19" s="145">
        <v>0</v>
      </c>
      <c r="E19" s="145"/>
      <c r="F19" s="145">
        <v>0</v>
      </c>
      <c r="G19" s="145"/>
      <c r="H19" s="145">
        <v>0</v>
      </c>
      <c r="I19" s="145"/>
      <c r="J19" s="145">
        <v>0</v>
      </c>
      <c r="K19" s="145"/>
      <c r="L19" s="145">
        <v>0</v>
      </c>
      <c r="M19" s="145"/>
      <c r="N19" s="140">
        <v>0</v>
      </c>
      <c r="O19" s="145"/>
      <c r="P19" s="145">
        <v>0</v>
      </c>
      <c r="Q19" s="145"/>
      <c r="R19" s="145">
        <v>0</v>
      </c>
      <c r="S19" s="145"/>
      <c r="T19" s="145">
        <v>0</v>
      </c>
      <c r="U19" s="145"/>
      <c r="V19" s="145">
        <v>0</v>
      </c>
      <c r="W19" s="145"/>
      <c r="X19" s="140">
        <f>SUM(D19:V19)</f>
        <v>0</v>
      </c>
    </row>
    <row r="20" spans="1:26" hidden="1">
      <c r="A20" s="89" t="s">
        <v>273</v>
      </c>
      <c r="B20" s="197"/>
      <c r="C20" s="145"/>
      <c r="D20" s="145">
        <v>0</v>
      </c>
      <c r="E20" s="145"/>
      <c r="F20" s="145">
        <v>0</v>
      </c>
      <c r="G20" s="145"/>
      <c r="H20" s="145">
        <v>0</v>
      </c>
      <c r="I20" s="145"/>
      <c r="J20" s="145">
        <v>0</v>
      </c>
      <c r="K20" s="145"/>
      <c r="L20" s="145">
        <v>0</v>
      </c>
      <c r="M20" s="145"/>
      <c r="N20" s="140">
        <v>0</v>
      </c>
      <c r="O20" s="145"/>
      <c r="P20" s="145">
        <v>0</v>
      </c>
      <c r="Q20" s="145"/>
      <c r="R20" s="145">
        <v>0</v>
      </c>
      <c r="S20" s="145"/>
      <c r="T20" s="145">
        <f>-R20</f>
        <v>0</v>
      </c>
      <c r="U20" s="145"/>
      <c r="V20" s="145">
        <v>0</v>
      </c>
      <c r="W20" s="145"/>
      <c r="X20" s="140">
        <f>SUM(D20:V20)</f>
        <v>0</v>
      </c>
      <c r="Y20" s="145"/>
      <c r="Z20" s="140"/>
    </row>
    <row r="21" spans="1:26">
      <c r="A21" s="164" t="s">
        <v>367</v>
      </c>
      <c r="B21" s="145"/>
      <c r="C21" s="145"/>
      <c r="D21" s="140">
        <v>0</v>
      </c>
      <c r="E21" s="140"/>
      <c r="F21" s="140">
        <v>0</v>
      </c>
      <c r="G21" s="140"/>
      <c r="H21" s="140">
        <v>0</v>
      </c>
      <c r="I21" s="140"/>
      <c r="J21" s="140">
        <v>0</v>
      </c>
      <c r="K21" s="140"/>
      <c r="L21" s="140">
        <v>0</v>
      </c>
      <c r="M21" s="140"/>
      <c r="N21" s="140">
        <v>0</v>
      </c>
      <c r="O21" s="140"/>
      <c r="P21" s="140">
        <v>0</v>
      </c>
      <c r="Q21" s="140"/>
      <c r="R21" s="140">
        <v>0</v>
      </c>
      <c r="S21" s="140"/>
      <c r="T21" s="140">
        <f>+'PL_Q1-66'!L37</f>
        <v>-21657530.09</v>
      </c>
      <c r="U21" s="140"/>
      <c r="V21" s="140">
        <f>-V23</f>
        <v>0</v>
      </c>
      <c r="W21" s="140"/>
      <c r="X21" s="140">
        <f>SUM(D21:V21)</f>
        <v>-21657530.09</v>
      </c>
      <c r="Y21" s="177">
        <f>T21-'PL_Q1-66'!L39</f>
        <v>0</v>
      </c>
    </row>
    <row r="22" spans="1:26" hidden="1">
      <c r="A22" s="89" t="s">
        <v>302</v>
      </c>
      <c r="B22" s="145"/>
      <c r="C22" s="145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77"/>
    </row>
    <row r="23" spans="1:26" hidden="1">
      <c r="A23" s="89" t="s">
        <v>303</v>
      </c>
      <c r="B23" s="145"/>
      <c r="C23" s="145"/>
      <c r="D23" s="140">
        <v>0</v>
      </c>
      <c r="E23" s="140"/>
      <c r="F23" s="140">
        <v>0</v>
      </c>
      <c r="G23" s="140"/>
      <c r="H23" s="140">
        <v>0</v>
      </c>
      <c r="I23" s="140"/>
      <c r="J23" s="140">
        <v>0</v>
      </c>
      <c r="K23" s="140"/>
      <c r="L23" s="140">
        <v>0</v>
      </c>
      <c r="M23" s="140"/>
      <c r="N23" s="140">
        <v>0</v>
      </c>
      <c r="O23" s="140"/>
      <c r="P23" s="140">
        <v>0</v>
      </c>
      <c r="Q23" s="140"/>
      <c r="R23" s="140">
        <v>0</v>
      </c>
      <c r="S23" s="140"/>
      <c r="T23" s="140">
        <v>0</v>
      </c>
      <c r="U23" s="140"/>
      <c r="V23" s="140">
        <f>-T23</f>
        <v>0</v>
      </c>
      <c r="W23" s="140"/>
      <c r="X23" s="140">
        <f>SUM(D23:V23)</f>
        <v>0</v>
      </c>
      <c r="Y23" s="177"/>
    </row>
    <row r="24" spans="1:26" ht="8.25" customHeight="1">
      <c r="B24" s="198"/>
      <c r="D24" s="175"/>
      <c r="E24" s="145"/>
      <c r="F24" s="175"/>
      <c r="G24" s="140"/>
      <c r="H24" s="175"/>
      <c r="I24" s="145"/>
      <c r="J24" s="175"/>
      <c r="K24" s="140"/>
      <c r="L24" s="175"/>
      <c r="M24" s="140"/>
      <c r="N24" s="175"/>
      <c r="O24" s="140"/>
      <c r="P24" s="175"/>
      <c r="Q24" s="145"/>
      <c r="R24" s="175"/>
      <c r="S24" s="145"/>
      <c r="T24" s="175"/>
      <c r="U24" s="140"/>
      <c r="V24" s="175"/>
      <c r="W24" s="140"/>
      <c r="X24" s="175"/>
    </row>
    <row r="25" spans="1:26" ht="20.5" thickBot="1">
      <c r="A25" s="85" t="s">
        <v>356</v>
      </c>
      <c r="B25" s="198"/>
      <c r="D25" s="176">
        <f>SUM(D13:D24)</f>
        <v>1048554056.16</v>
      </c>
      <c r="E25" s="145"/>
      <c r="F25" s="176">
        <f>SUM(F13:F24)</f>
        <v>0</v>
      </c>
      <c r="G25" s="140"/>
      <c r="H25" s="176">
        <f>SUM(H13:H24)</f>
        <v>682098274.11000001</v>
      </c>
      <c r="I25" s="145"/>
      <c r="J25" s="176">
        <f>SUM(J13:J24)</f>
        <v>130868.49</v>
      </c>
      <c r="K25" s="140"/>
      <c r="L25" s="176">
        <f>SUM(L19:L21)</f>
        <v>0</v>
      </c>
      <c r="M25" s="140"/>
      <c r="N25" s="176">
        <f>SUM(N19:N21)</f>
        <v>0</v>
      </c>
      <c r="O25" s="140"/>
      <c r="P25" s="176">
        <f>SUM(P19:P21)</f>
        <v>0</v>
      </c>
      <c r="Q25" s="145"/>
      <c r="R25" s="176">
        <f>SUM(R13:R24)</f>
        <v>97705272.88000001</v>
      </c>
      <c r="S25" s="145"/>
      <c r="T25" s="176">
        <f>SUM(T13:T24)</f>
        <v>1114465245.4999998</v>
      </c>
      <c r="U25" s="140"/>
      <c r="V25" s="176">
        <f>SUM(V13:V24)</f>
        <v>0</v>
      </c>
      <c r="W25" s="140"/>
      <c r="X25" s="176">
        <f>SUM(X13:X24)</f>
        <v>2942953717.1399994</v>
      </c>
      <c r="Y25" s="177">
        <f>X25-'BS_Q1-66'!L119</f>
        <v>16296187.979999542</v>
      </c>
    </row>
    <row r="26" spans="1:26" ht="20.5" thickTop="1">
      <c r="B26" s="198"/>
      <c r="D26" s="177"/>
      <c r="E26" s="177"/>
      <c r="F26" s="145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45"/>
      <c r="W26" s="177"/>
      <c r="X26" s="177"/>
    </row>
    <row r="27" spans="1:26">
      <c r="A27" s="85" t="s">
        <v>354</v>
      </c>
      <c r="B27" s="198"/>
      <c r="D27" s="140">
        <v>1164401069.76</v>
      </c>
      <c r="E27" s="140"/>
      <c r="F27" s="140">
        <v>0</v>
      </c>
      <c r="G27" s="140"/>
      <c r="H27" s="140">
        <v>688264273.17000008</v>
      </c>
      <c r="I27" s="140"/>
      <c r="J27" s="140">
        <v>0</v>
      </c>
      <c r="K27" s="140"/>
      <c r="L27" s="145">
        <v>0</v>
      </c>
      <c r="M27" s="140"/>
      <c r="N27" s="140">
        <v>0</v>
      </c>
      <c r="O27" s="140"/>
      <c r="P27" s="140">
        <v>0</v>
      </c>
      <c r="Q27" s="140"/>
      <c r="R27" s="140">
        <v>101508576.81000002</v>
      </c>
      <c r="S27" s="140"/>
      <c r="T27" s="140">
        <v>972483609.41999972</v>
      </c>
      <c r="U27" s="140"/>
      <c r="V27" s="140">
        <v>0</v>
      </c>
      <c r="W27" s="140"/>
      <c r="X27" s="140">
        <f>SUM(D27:V27)</f>
        <v>2926657529.1599998</v>
      </c>
      <c r="Z27" s="145"/>
    </row>
    <row r="28" spans="1:26" ht="9.75" customHeight="1">
      <c r="B28" s="198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40"/>
      <c r="T28" s="140"/>
      <c r="U28" s="140"/>
      <c r="V28" s="22"/>
      <c r="W28" s="140"/>
      <c r="X28" s="140"/>
    </row>
    <row r="29" spans="1:26">
      <c r="A29" s="89" t="s">
        <v>282</v>
      </c>
      <c r="B29" s="198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40"/>
      <c r="T29" s="140"/>
      <c r="U29" s="140"/>
      <c r="V29" s="22"/>
      <c r="W29" s="140"/>
      <c r="X29" s="140"/>
    </row>
    <row r="30" spans="1:26" hidden="1">
      <c r="A30" s="89" t="s">
        <v>315</v>
      </c>
      <c r="B30" s="197"/>
      <c r="D30" s="145">
        <v>0</v>
      </c>
      <c r="E30" s="145"/>
      <c r="F30" s="145">
        <v>0</v>
      </c>
      <c r="G30" s="145"/>
      <c r="H30" s="145">
        <v>0</v>
      </c>
      <c r="I30" s="145"/>
      <c r="J30" s="145">
        <v>0</v>
      </c>
      <c r="K30" s="145"/>
      <c r="L30" s="145">
        <v>0</v>
      </c>
      <c r="M30" s="145"/>
      <c r="N30" s="140">
        <v>0</v>
      </c>
      <c r="O30" s="145"/>
      <c r="P30" s="145">
        <v>0</v>
      </c>
      <c r="Q30" s="145"/>
      <c r="R30" s="145">
        <v>0</v>
      </c>
      <c r="S30" s="145"/>
      <c r="T30" s="145">
        <v>0</v>
      </c>
      <c r="U30" s="145"/>
      <c r="V30" s="145">
        <v>0</v>
      </c>
      <c r="W30" s="145"/>
      <c r="X30" s="140">
        <f t="shared" ref="X30:X32" si="1">SUM(D30:V30)</f>
        <v>0</v>
      </c>
    </row>
    <row r="31" spans="1:26" hidden="1">
      <c r="A31" s="89" t="s">
        <v>340</v>
      </c>
      <c r="B31" s="197"/>
      <c r="D31" s="145">
        <v>0</v>
      </c>
      <c r="E31" s="145"/>
      <c r="F31" s="145">
        <v>0</v>
      </c>
      <c r="G31" s="145"/>
      <c r="H31" s="145">
        <v>0</v>
      </c>
      <c r="I31" s="145"/>
      <c r="J31" s="145">
        <v>0</v>
      </c>
      <c r="K31" s="145"/>
      <c r="L31" s="145">
        <v>0</v>
      </c>
      <c r="M31" s="145"/>
      <c r="N31" s="140">
        <v>0</v>
      </c>
      <c r="O31" s="145"/>
      <c r="P31" s="145">
        <v>0</v>
      </c>
      <c r="Q31" s="145"/>
      <c r="R31" s="145">
        <v>0</v>
      </c>
      <c r="S31" s="145"/>
      <c r="T31" s="145">
        <f>-D31</f>
        <v>0</v>
      </c>
      <c r="U31" s="145"/>
      <c r="V31" s="145">
        <v>0</v>
      </c>
      <c r="W31" s="145"/>
      <c r="X31" s="140">
        <f t="shared" ref="X31" si="2">SUM(D31:V31)</f>
        <v>0</v>
      </c>
    </row>
    <row r="32" spans="1:26" hidden="1">
      <c r="A32" s="89" t="s">
        <v>316</v>
      </c>
      <c r="B32" s="197"/>
      <c r="D32" s="145">
        <v>0</v>
      </c>
      <c r="E32" s="145"/>
      <c r="F32" s="145">
        <v>0</v>
      </c>
      <c r="G32" s="145"/>
      <c r="H32" s="145">
        <v>0</v>
      </c>
      <c r="I32" s="145"/>
      <c r="J32" s="145">
        <v>0</v>
      </c>
      <c r="K32" s="145"/>
      <c r="L32" s="145">
        <v>0</v>
      </c>
      <c r="M32" s="145"/>
      <c r="N32" s="140">
        <v>0</v>
      </c>
      <c r="O32" s="145"/>
      <c r="P32" s="145">
        <v>0</v>
      </c>
      <c r="Q32" s="145"/>
      <c r="R32" s="145">
        <v>0</v>
      </c>
      <c r="S32" s="145"/>
      <c r="T32" s="145">
        <v>0</v>
      </c>
      <c r="U32" s="145"/>
      <c r="V32" s="145">
        <v>0</v>
      </c>
      <c r="W32" s="145"/>
      <c r="X32" s="140">
        <f t="shared" si="1"/>
        <v>0</v>
      </c>
    </row>
    <row r="33" spans="1:28" s="145" customFormat="1" hidden="1">
      <c r="A33" s="163" t="s">
        <v>309</v>
      </c>
      <c r="B33" s="197"/>
      <c r="D33" s="145">
        <v>0</v>
      </c>
      <c r="F33" s="145">
        <v>0</v>
      </c>
      <c r="H33" s="145">
        <v>0</v>
      </c>
      <c r="J33" s="145">
        <v>0</v>
      </c>
      <c r="L33" s="145">
        <v>0</v>
      </c>
      <c r="N33" s="140">
        <v>0</v>
      </c>
      <c r="P33" s="145">
        <v>0</v>
      </c>
      <c r="R33" s="145">
        <v>0</v>
      </c>
      <c r="T33" s="145">
        <v>0</v>
      </c>
      <c r="V33" s="145">
        <v>0</v>
      </c>
      <c r="X33" s="140">
        <f>SUM(D33:V33)</f>
        <v>0</v>
      </c>
      <c r="Z33" s="140"/>
    </row>
    <row r="34" spans="1:28" s="145" customFormat="1" hidden="1">
      <c r="A34" s="89" t="s">
        <v>273</v>
      </c>
      <c r="B34" s="197"/>
      <c r="D34" s="145">
        <v>0</v>
      </c>
      <c r="F34" s="145">
        <v>0</v>
      </c>
      <c r="H34" s="145">
        <v>0</v>
      </c>
      <c r="J34" s="145">
        <v>0</v>
      </c>
      <c r="L34" s="145">
        <v>0</v>
      </c>
      <c r="N34" s="140">
        <v>0</v>
      </c>
      <c r="P34" s="145">
        <v>0</v>
      </c>
      <c r="R34" s="145">
        <v>0</v>
      </c>
      <c r="T34" s="145">
        <f>-R34</f>
        <v>0</v>
      </c>
      <c r="V34" s="145">
        <v>0</v>
      </c>
      <c r="X34" s="140">
        <f>SUM(D34:V34)</f>
        <v>0</v>
      </c>
      <c r="Z34" s="140"/>
    </row>
    <row r="35" spans="1:28" s="145" customFormat="1">
      <c r="A35" s="164" t="s">
        <v>367</v>
      </c>
      <c r="D35" s="140">
        <v>0</v>
      </c>
      <c r="E35" s="140"/>
      <c r="F35" s="140">
        <v>0</v>
      </c>
      <c r="G35" s="140"/>
      <c r="H35" s="140">
        <v>0</v>
      </c>
      <c r="I35" s="140"/>
      <c r="J35" s="140">
        <v>0</v>
      </c>
      <c r="K35" s="140"/>
      <c r="L35" s="140">
        <v>0</v>
      </c>
      <c r="M35" s="140"/>
      <c r="N35" s="140">
        <v>0</v>
      </c>
      <c r="O35" s="140"/>
      <c r="P35" s="140">
        <v>0</v>
      </c>
      <c r="Q35" s="140"/>
      <c r="R35" s="140">
        <v>0</v>
      </c>
      <c r="S35" s="140"/>
      <c r="T35" s="140">
        <f>+'PL_Q1-66'!J37</f>
        <v>-31349120.510000002</v>
      </c>
      <c r="U35" s="140"/>
      <c r="V35" s="140">
        <f>-V37</f>
        <v>0</v>
      </c>
      <c r="W35" s="140"/>
      <c r="X35" s="140">
        <f>SUM(D35:V35)</f>
        <v>-31349120.510000002</v>
      </c>
      <c r="Y35" s="145">
        <f>T35-'PL_Q1-66'!J37</f>
        <v>0</v>
      </c>
    </row>
    <row r="36" spans="1:28" s="145" customFormat="1" hidden="1">
      <c r="A36" s="89" t="s">
        <v>302</v>
      </c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1:28" s="145" customFormat="1" hidden="1">
      <c r="A37" s="89" t="s">
        <v>303</v>
      </c>
      <c r="D37" s="140">
        <v>0</v>
      </c>
      <c r="E37" s="140"/>
      <c r="F37" s="140">
        <v>0</v>
      </c>
      <c r="G37" s="140"/>
      <c r="H37" s="140">
        <v>0</v>
      </c>
      <c r="I37" s="140"/>
      <c r="J37" s="140">
        <v>0</v>
      </c>
      <c r="K37" s="140"/>
      <c r="L37" s="140">
        <v>0</v>
      </c>
      <c r="M37" s="140"/>
      <c r="N37" s="140">
        <v>0</v>
      </c>
      <c r="O37" s="140"/>
      <c r="P37" s="140">
        <v>0</v>
      </c>
      <c r="Q37" s="140"/>
      <c r="R37" s="140">
        <v>0</v>
      </c>
      <c r="S37" s="140"/>
      <c r="T37" s="140">
        <v>0</v>
      </c>
      <c r="U37" s="140"/>
      <c r="V37" s="140">
        <f>-T37</f>
        <v>0</v>
      </c>
      <c r="W37" s="140"/>
      <c r="X37" s="140">
        <f>SUM(D37:V37)</f>
        <v>0</v>
      </c>
    </row>
    <row r="38" spans="1:28" ht="7.5" customHeight="1">
      <c r="D38" s="175"/>
      <c r="E38" s="145"/>
      <c r="F38" s="175"/>
      <c r="G38" s="140"/>
      <c r="H38" s="175"/>
      <c r="I38" s="145"/>
      <c r="J38" s="175"/>
      <c r="K38" s="140"/>
      <c r="L38" s="175"/>
      <c r="M38" s="140"/>
      <c r="N38" s="175"/>
      <c r="O38" s="140"/>
      <c r="P38" s="175"/>
      <c r="Q38" s="145"/>
      <c r="R38" s="175"/>
      <c r="S38" s="145"/>
      <c r="T38" s="175"/>
      <c r="U38" s="140"/>
      <c r="V38" s="175"/>
      <c r="W38" s="140"/>
      <c r="X38" s="175"/>
    </row>
    <row r="39" spans="1:28" ht="20.5" thickBot="1">
      <c r="A39" s="85" t="s">
        <v>357</v>
      </c>
      <c r="D39" s="176">
        <f>SUM(D27:D38)</f>
        <v>1164401069.76</v>
      </c>
      <c r="E39" s="145"/>
      <c r="F39" s="176">
        <f>SUM(F27:F38)</f>
        <v>0</v>
      </c>
      <c r="G39" s="140"/>
      <c r="H39" s="176">
        <f>SUM(H27:H38)</f>
        <v>688264273.17000008</v>
      </c>
      <c r="I39" s="145"/>
      <c r="J39" s="176">
        <f>SUM(J27:J38)</f>
        <v>0</v>
      </c>
      <c r="K39" s="140"/>
      <c r="L39" s="176">
        <f>SUM(L33:L35)</f>
        <v>0</v>
      </c>
      <c r="M39" s="140"/>
      <c r="N39" s="176">
        <f>SUM(N33:N35)</f>
        <v>0</v>
      </c>
      <c r="O39" s="140"/>
      <c r="P39" s="176">
        <f>SUM(P33:P35)</f>
        <v>0</v>
      </c>
      <c r="Q39" s="145"/>
      <c r="R39" s="176">
        <f>SUM(R27:R38)</f>
        <v>101508576.81000002</v>
      </c>
      <c r="S39" s="145"/>
      <c r="T39" s="176">
        <f>SUM(T27:T38)</f>
        <v>941134488.90999973</v>
      </c>
      <c r="U39" s="140"/>
      <c r="V39" s="176">
        <f>SUM(V27:V38)</f>
        <v>0</v>
      </c>
      <c r="W39" s="140"/>
      <c r="X39" s="176">
        <f>SUM(X27:X38)</f>
        <v>2895308408.6499996</v>
      </c>
      <c r="Y39" s="85">
        <f>X39-'BS_Q1-66'!J119</f>
        <v>0</v>
      </c>
    </row>
    <row r="40" spans="1:28" ht="9.75" customHeight="1" thickTop="1"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</row>
    <row r="41" spans="1:28"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</row>
    <row r="42" spans="1:28">
      <c r="A42" s="88" t="str">
        <f>+'BS_Q1-66'!A122</f>
        <v>The accompanying interim notes to financial statements are an integral part of these interim financial statements.</v>
      </c>
    </row>
    <row r="43" spans="1:28">
      <c r="A43" s="141"/>
    </row>
    <row r="44" spans="1:28" s="139" customFormat="1">
      <c r="A44" s="101"/>
      <c r="C44" s="98"/>
      <c r="D44" s="101"/>
      <c r="E44" s="98"/>
      <c r="F44" s="98"/>
      <c r="G44" s="98"/>
      <c r="H44" s="98"/>
      <c r="I44" s="98"/>
      <c r="J44" s="101"/>
      <c r="K44" s="101"/>
      <c r="L44" s="101"/>
      <c r="M44" s="101"/>
      <c r="N44" s="101"/>
      <c r="O44" s="101"/>
      <c r="P44" s="101"/>
      <c r="Q44" s="98"/>
      <c r="R44" s="98"/>
      <c r="S44" s="98"/>
      <c r="T44" s="98"/>
      <c r="U44" s="98"/>
      <c r="V44" s="98"/>
      <c r="W44" s="98"/>
      <c r="X44" s="98"/>
      <c r="Y44" s="98"/>
      <c r="AB44" s="151"/>
    </row>
    <row r="45" spans="1:28" s="139" customFormat="1">
      <c r="A45" s="101" t="s">
        <v>145</v>
      </c>
      <c r="C45" s="98"/>
      <c r="D45" s="101"/>
      <c r="E45" s="98"/>
      <c r="F45" s="98"/>
      <c r="G45" s="98"/>
      <c r="H45" s="98"/>
      <c r="I45" s="98"/>
      <c r="K45" s="101"/>
      <c r="L45" s="101"/>
      <c r="M45" s="101"/>
      <c r="N45" s="101"/>
      <c r="O45" s="101"/>
      <c r="P45" s="101"/>
      <c r="Q45" s="98"/>
      <c r="S45" s="98"/>
      <c r="T45" s="101" t="s">
        <v>145</v>
      </c>
      <c r="U45" s="98"/>
      <c r="V45" s="98"/>
      <c r="W45" s="98"/>
      <c r="X45" s="98"/>
      <c r="Y45" s="98"/>
      <c r="AB45" s="151"/>
    </row>
    <row r="46" spans="1:28">
      <c r="A46" s="142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89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2"/>
  <sheetViews>
    <sheetView view="pageBreakPreview" zoomScale="115" zoomScaleNormal="100" zoomScaleSheetLayoutView="115" workbookViewId="0">
      <selection activeCell="O7" sqref="O7"/>
    </sheetView>
  </sheetViews>
  <sheetFormatPr defaultColWidth="9.09765625" defaultRowHeight="17.5"/>
  <cols>
    <col min="1" max="2" width="2.69921875" style="3" customWidth="1"/>
    <col min="3" max="3" width="39.296875" style="3" bestFit="1" customWidth="1"/>
    <col min="4" max="4" width="5.3984375" style="6" customWidth="1"/>
    <col min="5" max="5" width="0.8984375" style="6" customWidth="1"/>
    <col min="6" max="6" width="12.69921875" style="6" customWidth="1"/>
    <col min="7" max="7" width="0.8984375" style="6" customWidth="1"/>
    <col min="8" max="8" width="13.3984375" style="6" customWidth="1"/>
    <col min="9" max="9" width="0.8984375" style="3" customWidth="1"/>
    <col min="10" max="10" width="12.8984375" style="5" customWidth="1"/>
    <col min="11" max="11" width="0.8984375" style="3" customWidth="1"/>
    <col min="12" max="12" width="13.296875" style="5" customWidth="1"/>
    <col min="13" max="13" width="2.69921875" style="3" customWidth="1"/>
    <col min="14" max="14" width="15.69921875" style="3" customWidth="1"/>
    <col min="15" max="15" width="2.69921875" style="3" customWidth="1"/>
    <col min="16" max="16" width="13.8984375" style="3" customWidth="1"/>
    <col min="17" max="17" width="2.69921875" style="3" customWidth="1"/>
    <col min="18" max="18" width="14.59765625" style="3" customWidth="1"/>
    <col min="19" max="19" width="5" style="3" customWidth="1"/>
    <col min="20" max="16384" width="9.09765625" style="3"/>
  </cols>
  <sheetData>
    <row r="1" spans="1:14" ht="20.149999999999999" customHeight="1">
      <c r="B1" s="9"/>
      <c r="C1" s="9"/>
      <c r="D1" s="32"/>
      <c r="E1" s="32"/>
      <c r="F1" s="17"/>
      <c r="G1" s="32"/>
      <c r="H1" s="17"/>
      <c r="I1" s="9"/>
      <c r="J1" s="237" t="s">
        <v>373</v>
      </c>
      <c r="K1" s="237"/>
      <c r="L1" s="237"/>
    </row>
    <row r="2" spans="1:14">
      <c r="A2" s="225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4" ht="18" customHeight="1">
      <c r="A3" s="222" t="s">
        <v>157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1:14" ht="18" customHeight="1">
      <c r="A4" s="222" t="s">
        <v>352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4" ht="16.5" customHeight="1">
      <c r="A5" s="9"/>
      <c r="B5" s="9"/>
      <c r="C5" s="27"/>
      <c r="F5" s="223" t="s">
        <v>132</v>
      </c>
      <c r="G5" s="223"/>
      <c r="H5" s="223"/>
      <c r="I5" s="223"/>
      <c r="J5" s="223"/>
      <c r="K5" s="223"/>
      <c r="L5" s="223"/>
    </row>
    <row r="6" spans="1:14" ht="19">
      <c r="A6" s="9"/>
      <c r="B6" s="9"/>
      <c r="C6" s="9" t="s">
        <v>4</v>
      </c>
      <c r="F6" s="220" t="s">
        <v>205</v>
      </c>
      <c r="G6" s="220"/>
      <c r="H6" s="220"/>
      <c r="I6" s="82"/>
      <c r="J6" s="220" t="s">
        <v>206</v>
      </c>
      <c r="K6" s="220"/>
      <c r="L6" s="220"/>
    </row>
    <row r="7" spans="1:14" ht="19">
      <c r="A7" s="9"/>
      <c r="B7" s="9"/>
      <c r="C7" s="9"/>
      <c r="F7" s="236" t="s">
        <v>358</v>
      </c>
      <c r="G7" s="236"/>
      <c r="H7" s="236"/>
      <c r="I7" s="236"/>
      <c r="J7" s="236"/>
      <c r="K7" s="236"/>
      <c r="L7" s="236"/>
    </row>
    <row r="8" spans="1:14">
      <c r="A8" s="9"/>
      <c r="B8" s="9"/>
      <c r="C8" s="9"/>
      <c r="D8" s="130" t="s">
        <v>133</v>
      </c>
      <c r="F8" s="130">
        <v>2023</v>
      </c>
      <c r="H8" s="130">
        <v>2022</v>
      </c>
      <c r="J8" s="130">
        <f>+F8</f>
        <v>2023</v>
      </c>
      <c r="K8" s="6"/>
      <c r="L8" s="130">
        <f>+H8</f>
        <v>2022</v>
      </c>
    </row>
    <row r="9" spans="1:14">
      <c r="A9" s="132" t="s">
        <v>158</v>
      </c>
      <c r="B9" s="9"/>
      <c r="C9" s="9"/>
      <c r="D9" s="13"/>
      <c r="E9" s="13"/>
      <c r="F9" s="10"/>
      <c r="G9" s="10"/>
      <c r="H9" s="10"/>
      <c r="I9" s="9"/>
      <c r="J9" s="11"/>
      <c r="K9" s="9"/>
      <c r="L9" s="11"/>
    </row>
    <row r="10" spans="1:14">
      <c r="A10" s="9"/>
      <c r="B10" s="9" t="s">
        <v>227</v>
      </c>
      <c r="C10" s="9"/>
      <c r="D10" s="13"/>
      <c r="E10" s="13"/>
      <c r="F10" s="173">
        <v>21155054.359999999</v>
      </c>
      <c r="G10" s="170"/>
      <c r="H10" s="173">
        <v>4979404.12</v>
      </c>
      <c r="I10" s="167"/>
      <c r="J10" s="22">
        <v>20167965.23</v>
      </c>
      <c r="K10" s="167"/>
      <c r="L10" s="22">
        <v>3962044.38</v>
      </c>
      <c r="M10" s="7"/>
      <c r="N10" s="7"/>
    </row>
    <row r="11" spans="1:14">
      <c r="A11" s="9"/>
      <c r="B11" s="9" t="s">
        <v>323</v>
      </c>
      <c r="C11" s="9"/>
      <c r="D11" s="13"/>
      <c r="E11" s="13"/>
      <c r="F11" s="173">
        <v>1058210.8</v>
      </c>
      <c r="G11" s="170"/>
      <c r="H11" s="173">
        <v>0</v>
      </c>
      <c r="I11" s="167"/>
      <c r="J11" s="14">
        <v>1058210.8</v>
      </c>
      <c r="K11" s="167"/>
      <c r="L11" s="14">
        <v>0</v>
      </c>
      <c r="M11" s="7"/>
      <c r="N11" s="7"/>
    </row>
    <row r="12" spans="1:14">
      <c r="A12" s="9"/>
      <c r="B12" s="9" t="s">
        <v>336</v>
      </c>
      <c r="C12" s="9"/>
      <c r="D12" s="13">
        <v>6</v>
      </c>
      <c r="E12" s="13"/>
      <c r="F12" s="173">
        <v>4780884.5199999996</v>
      </c>
      <c r="G12" s="170"/>
      <c r="H12" s="173">
        <v>130211799.95999999</v>
      </c>
      <c r="I12" s="167"/>
      <c r="J12" s="14">
        <v>3651.22</v>
      </c>
      <c r="K12" s="167"/>
      <c r="L12" s="14">
        <v>42311.97</v>
      </c>
      <c r="M12" s="7"/>
      <c r="N12" s="7"/>
    </row>
    <row r="13" spans="1:14">
      <c r="A13" s="9"/>
      <c r="B13" s="9" t="s">
        <v>216</v>
      </c>
      <c r="C13" s="9"/>
      <c r="D13" s="13"/>
      <c r="E13" s="13"/>
      <c r="F13" s="173">
        <v>0</v>
      </c>
      <c r="G13" s="170"/>
      <c r="H13" s="173">
        <v>1014277.2</v>
      </c>
      <c r="I13" s="167"/>
      <c r="J13" s="14">
        <v>0</v>
      </c>
      <c r="K13" s="167"/>
      <c r="L13" s="14">
        <v>1014277.2</v>
      </c>
      <c r="M13" s="7"/>
      <c r="N13" s="7"/>
    </row>
    <row r="14" spans="1:14">
      <c r="A14" s="9"/>
      <c r="B14" s="9" t="s">
        <v>160</v>
      </c>
      <c r="C14" s="9"/>
      <c r="D14" s="13"/>
      <c r="E14" s="13"/>
      <c r="F14" s="173">
        <v>7432461.2699999996</v>
      </c>
      <c r="G14" s="170"/>
      <c r="H14" s="173">
        <v>13898680.800000001</v>
      </c>
      <c r="I14" s="167"/>
      <c r="J14" s="22">
        <v>22159573.98</v>
      </c>
      <c r="K14" s="167"/>
      <c r="L14" s="22">
        <v>28708877.190000001</v>
      </c>
      <c r="M14" s="7"/>
      <c r="N14" s="7"/>
    </row>
    <row r="15" spans="1:14">
      <c r="A15" s="9"/>
      <c r="B15" s="9" t="s">
        <v>159</v>
      </c>
      <c r="C15" s="9"/>
      <c r="D15" s="13"/>
      <c r="E15" s="13"/>
      <c r="F15" s="179"/>
      <c r="G15" s="179"/>
      <c r="H15" s="179"/>
      <c r="I15" s="167"/>
      <c r="J15" s="14"/>
      <c r="K15" s="167"/>
      <c r="L15" s="14"/>
      <c r="M15" s="7"/>
      <c r="N15" s="7"/>
    </row>
    <row r="16" spans="1:14">
      <c r="A16" s="9"/>
      <c r="B16" s="9"/>
      <c r="C16" s="9" t="s">
        <v>332</v>
      </c>
      <c r="D16" s="13">
        <v>5</v>
      </c>
      <c r="E16" s="13"/>
      <c r="F16" s="14">
        <v>0</v>
      </c>
      <c r="G16" s="170"/>
      <c r="H16" s="14">
        <v>760000</v>
      </c>
      <c r="I16" s="167"/>
      <c r="J16" s="14">
        <v>0</v>
      </c>
      <c r="K16" s="167"/>
      <c r="L16" s="14">
        <v>760000</v>
      </c>
      <c r="M16" s="7"/>
      <c r="N16" s="7"/>
    </row>
    <row r="17" spans="1:14">
      <c r="A17" s="9"/>
      <c r="B17" s="9"/>
      <c r="C17" s="9" t="s">
        <v>362</v>
      </c>
      <c r="D17" s="13">
        <v>6</v>
      </c>
      <c r="E17" s="13"/>
      <c r="F17" s="14">
        <v>137004241.91999999</v>
      </c>
      <c r="G17" s="170"/>
      <c r="H17" s="14">
        <v>0</v>
      </c>
      <c r="I17" s="167"/>
      <c r="J17" s="14">
        <v>69541.95</v>
      </c>
      <c r="K17" s="167"/>
      <c r="L17" s="14">
        <v>0</v>
      </c>
      <c r="M17" s="7"/>
      <c r="N17" s="7"/>
    </row>
    <row r="18" spans="1:14">
      <c r="A18" s="9"/>
      <c r="B18" s="9"/>
      <c r="C18" s="9" t="s">
        <v>138</v>
      </c>
      <c r="D18" s="15"/>
      <c r="E18" s="15"/>
      <c r="F18" s="173">
        <v>228469.4</v>
      </c>
      <c r="G18" s="170"/>
      <c r="H18" s="173">
        <v>39811.68</v>
      </c>
      <c r="I18" s="167"/>
      <c r="J18" s="14">
        <v>228441.97</v>
      </c>
      <c r="K18" s="167"/>
      <c r="L18" s="14">
        <v>39811.68</v>
      </c>
      <c r="M18" s="7"/>
      <c r="N18" s="7"/>
    </row>
    <row r="19" spans="1:14">
      <c r="A19" s="9"/>
      <c r="B19" s="9"/>
      <c r="C19" s="9" t="s">
        <v>161</v>
      </c>
      <c r="D19" s="13"/>
      <c r="E19" s="13"/>
      <c r="F19" s="172">
        <f>SUM(F10:F18)</f>
        <v>171659322.27000001</v>
      </c>
      <c r="G19" s="170"/>
      <c r="H19" s="172">
        <f>SUM(H10:H18)</f>
        <v>150903973.75999999</v>
      </c>
      <c r="I19" s="167"/>
      <c r="J19" s="172">
        <f>SUM(J10:J18)</f>
        <v>43687385.150000006</v>
      </c>
      <c r="K19" s="167"/>
      <c r="L19" s="172">
        <f>SUM(L10:L18)</f>
        <v>34527322.420000002</v>
      </c>
      <c r="M19" s="7"/>
      <c r="N19" s="7"/>
    </row>
    <row r="20" spans="1:14" ht="8.25" customHeight="1">
      <c r="A20" s="9"/>
      <c r="B20" s="9"/>
      <c r="C20" s="9"/>
      <c r="D20" s="13"/>
      <c r="E20" s="13"/>
      <c r="F20" s="170"/>
      <c r="G20" s="170"/>
      <c r="H20" s="170"/>
      <c r="I20" s="167"/>
      <c r="J20" s="170"/>
      <c r="K20" s="167"/>
      <c r="L20" s="170"/>
      <c r="M20" s="7"/>
      <c r="N20" s="7"/>
    </row>
    <row r="21" spans="1:14">
      <c r="A21" s="9" t="s">
        <v>162</v>
      </c>
      <c r="B21" s="9"/>
      <c r="C21" s="9"/>
      <c r="D21" s="13"/>
      <c r="E21" s="13"/>
      <c r="F21" s="170"/>
      <c r="G21" s="170"/>
      <c r="H21" s="170"/>
      <c r="I21" s="167"/>
      <c r="J21" s="14"/>
      <c r="K21" s="167"/>
      <c r="L21" s="14"/>
      <c r="M21" s="7"/>
      <c r="N21" s="7"/>
    </row>
    <row r="22" spans="1:14">
      <c r="A22" s="9"/>
      <c r="B22" s="9" t="s">
        <v>255</v>
      </c>
      <c r="C22" s="9"/>
      <c r="D22" s="13"/>
      <c r="E22" s="13"/>
      <c r="F22" s="170">
        <v>15373314.279999999</v>
      </c>
      <c r="G22" s="170"/>
      <c r="H22" s="170">
        <v>14191235.609999999</v>
      </c>
      <c r="I22" s="167"/>
      <c r="J22" s="14">
        <v>13829385.08</v>
      </c>
      <c r="K22" s="167"/>
      <c r="L22" s="14">
        <v>12658635.92</v>
      </c>
      <c r="M22" s="7"/>
      <c r="N22" s="7"/>
    </row>
    <row r="23" spans="1:14">
      <c r="A23" s="9"/>
      <c r="B23" s="9" t="s">
        <v>212</v>
      </c>
      <c r="C23" s="9"/>
      <c r="D23" s="8"/>
      <c r="E23" s="8"/>
      <c r="F23" s="170">
        <v>54123388.810000002</v>
      </c>
      <c r="G23" s="170"/>
      <c r="H23" s="170">
        <v>23525037.579999998</v>
      </c>
      <c r="I23" s="167"/>
      <c r="J23" s="14">
        <v>48462284.020000003</v>
      </c>
      <c r="K23" s="167"/>
      <c r="L23" s="14">
        <v>17064340.719999999</v>
      </c>
      <c r="M23" s="7"/>
      <c r="N23" s="7"/>
    </row>
    <row r="24" spans="1:14">
      <c r="A24" s="9"/>
      <c r="B24" s="9" t="s">
        <v>325</v>
      </c>
      <c r="C24" s="9"/>
      <c r="D24" s="13">
        <v>8.4</v>
      </c>
      <c r="E24" s="8"/>
      <c r="F24" s="170">
        <v>15020797.199999999</v>
      </c>
      <c r="G24" s="170"/>
      <c r="H24" s="170">
        <v>969132.84</v>
      </c>
      <c r="I24" s="167"/>
      <c r="J24" s="14">
        <v>11445203.970000001</v>
      </c>
      <c r="K24" s="167"/>
      <c r="L24" s="14">
        <v>24915220.5</v>
      </c>
      <c r="M24" s="7"/>
      <c r="N24" s="7"/>
    </row>
    <row r="25" spans="1:14">
      <c r="A25" s="9"/>
      <c r="B25" s="9" t="s">
        <v>359</v>
      </c>
      <c r="C25" s="9"/>
      <c r="D25" s="13"/>
      <c r="E25" s="8"/>
      <c r="F25" s="170">
        <v>0</v>
      </c>
      <c r="G25" s="170"/>
      <c r="H25" s="170">
        <v>182442</v>
      </c>
      <c r="I25" s="167"/>
      <c r="J25" s="14">
        <v>0</v>
      </c>
      <c r="K25" s="167"/>
      <c r="L25" s="14">
        <v>182442</v>
      </c>
      <c r="M25" s="7"/>
      <c r="N25" s="7"/>
    </row>
    <row r="26" spans="1:14">
      <c r="A26" s="9"/>
      <c r="B26" s="9" t="s">
        <v>333</v>
      </c>
      <c r="C26" s="9"/>
      <c r="D26" s="13">
        <v>6</v>
      </c>
      <c r="E26" s="8"/>
      <c r="F26" s="173">
        <v>0</v>
      </c>
      <c r="G26" s="170"/>
      <c r="H26" s="173">
        <v>70143972.680000007</v>
      </c>
      <c r="I26" s="167"/>
      <c r="J26" s="14">
        <v>0</v>
      </c>
      <c r="K26" s="167"/>
      <c r="L26" s="14">
        <v>0</v>
      </c>
      <c r="M26" s="7"/>
      <c r="N26" s="7"/>
    </row>
    <row r="27" spans="1:14">
      <c r="A27" s="9"/>
      <c r="B27" s="9"/>
      <c r="C27" s="9" t="s">
        <v>163</v>
      </c>
      <c r="D27" s="13"/>
      <c r="E27" s="13"/>
      <c r="F27" s="172">
        <f>SUM(F22:F26)</f>
        <v>84517500.290000007</v>
      </c>
      <c r="G27" s="173"/>
      <c r="H27" s="172">
        <f>SUM(H22:H26)</f>
        <v>109011820.71000001</v>
      </c>
      <c r="I27" s="14"/>
      <c r="J27" s="172">
        <f>SUM(J22:J26)</f>
        <v>73736873.070000008</v>
      </c>
      <c r="K27" s="14"/>
      <c r="L27" s="172">
        <f>SUM(L22:L26)</f>
        <v>54820639.140000001</v>
      </c>
      <c r="M27" s="7"/>
      <c r="N27" s="7"/>
    </row>
    <row r="28" spans="1:14" ht="7.5" customHeight="1">
      <c r="A28" s="9"/>
      <c r="B28" s="9"/>
      <c r="C28" s="9"/>
      <c r="D28" s="13"/>
      <c r="E28" s="13"/>
      <c r="F28" s="170"/>
      <c r="G28" s="170"/>
      <c r="H28" s="170"/>
      <c r="I28" s="167"/>
      <c r="J28" s="14"/>
      <c r="K28" s="167"/>
      <c r="L28" s="14"/>
      <c r="M28" s="7"/>
      <c r="N28" s="7"/>
    </row>
    <row r="29" spans="1:14">
      <c r="A29" s="9" t="s">
        <v>344</v>
      </c>
      <c r="B29" s="9"/>
      <c r="C29" s="9"/>
      <c r="D29" s="13"/>
      <c r="E29" s="13"/>
      <c r="F29" s="170">
        <f>+F19-F27</f>
        <v>87141821.980000004</v>
      </c>
      <c r="G29" s="170"/>
      <c r="H29" s="170">
        <f>+H19-H27</f>
        <v>41892153.049999982</v>
      </c>
      <c r="I29" s="167"/>
      <c r="J29" s="170">
        <f>+J19-J27</f>
        <v>-30049487.920000002</v>
      </c>
      <c r="K29" s="167"/>
      <c r="L29" s="170">
        <f>+L19-L27</f>
        <v>-20293316.719999999</v>
      </c>
      <c r="M29" s="7"/>
      <c r="N29" s="7"/>
    </row>
    <row r="30" spans="1:14">
      <c r="A30" s="9"/>
      <c r="B30" s="9" t="s">
        <v>213</v>
      </c>
      <c r="C30" s="9"/>
      <c r="D30" s="30"/>
      <c r="E30" s="8"/>
      <c r="F30" s="181">
        <v>2236143.2200000002</v>
      </c>
      <c r="G30" s="170"/>
      <c r="H30" s="181">
        <v>2558732.86</v>
      </c>
      <c r="I30" s="167"/>
      <c r="J30" s="169">
        <v>2421074.73</v>
      </c>
      <c r="K30" s="167"/>
      <c r="L30" s="169">
        <v>2758458.89</v>
      </c>
      <c r="M30" s="7"/>
      <c r="N30" s="7"/>
    </row>
    <row r="31" spans="1:14" ht="7.5" customHeight="1">
      <c r="A31" s="9"/>
      <c r="B31" s="9"/>
      <c r="C31" s="9"/>
      <c r="D31" s="13"/>
      <c r="E31" s="13"/>
      <c r="F31" s="170"/>
      <c r="G31" s="170"/>
      <c r="H31" s="170"/>
      <c r="I31" s="167"/>
      <c r="J31" s="14"/>
      <c r="K31" s="167"/>
      <c r="L31" s="14"/>
      <c r="M31" s="7"/>
      <c r="N31" s="7"/>
    </row>
    <row r="32" spans="1:14">
      <c r="A32" s="9" t="s">
        <v>260</v>
      </c>
      <c r="B32" s="9"/>
      <c r="C32" s="9"/>
      <c r="D32" s="32"/>
      <c r="E32" s="32"/>
      <c r="F32" s="14">
        <f>+F29-F30</f>
        <v>84905678.760000005</v>
      </c>
      <c r="G32" s="173"/>
      <c r="H32" s="14">
        <f>+H29-H30</f>
        <v>39333420.189999983</v>
      </c>
      <c r="I32" s="167"/>
      <c r="J32" s="14">
        <f>+J29-J30</f>
        <v>-32470562.650000002</v>
      </c>
      <c r="K32" s="167"/>
      <c r="L32" s="14">
        <f>+L29-L30</f>
        <v>-23051775.609999999</v>
      </c>
      <c r="M32" s="7"/>
      <c r="N32" s="7"/>
    </row>
    <row r="33" spans="1:14">
      <c r="A33" s="9" t="s">
        <v>276</v>
      </c>
      <c r="B33" s="9"/>
      <c r="C33" s="9"/>
      <c r="D33" s="6">
        <v>15.2</v>
      </c>
      <c r="F33" s="183">
        <v>3298818.08</v>
      </c>
      <c r="G33" s="170"/>
      <c r="H33" s="183">
        <v>1577503.78</v>
      </c>
      <c r="I33" s="167"/>
      <c r="J33" s="169">
        <v>1121442.1399999999</v>
      </c>
      <c r="K33" s="14"/>
      <c r="L33" s="169">
        <v>1394245.52</v>
      </c>
      <c r="M33" s="7"/>
      <c r="N33" s="7"/>
    </row>
    <row r="34" spans="1:14" ht="18" thickBot="1">
      <c r="A34" s="18" t="s">
        <v>164</v>
      </c>
      <c r="B34" s="9"/>
      <c r="C34" s="9"/>
      <c r="D34" s="13"/>
      <c r="E34" s="13"/>
      <c r="F34" s="206">
        <f>SUM(F32:F33)</f>
        <v>88204496.840000004</v>
      </c>
      <c r="G34" s="170"/>
      <c r="H34" s="206">
        <f>SUM(H32:H33)</f>
        <v>40910923.969999984</v>
      </c>
      <c r="I34" s="167"/>
      <c r="J34" s="206">
        <f>SUM(J32:J33)</f>
        <v>-31349120.510000002</v>
      </c>
      <c r="K34" s="14"/>
      <c r="L34" s="206">
        <f>SUM(L32:L33)</f>
        <v>-21657530.09</v>
      </c>
      <c r="M34" s="7"/>
      <c r="N34" s="7"/>
    </row>
    <row r="35" spans="1:14" ht="6.75" customHeight="1" thickTop="1">
      <c r="A35" s="18"/>
      <c r="B35" s="9"/>
      <c r="C35" s="9"/>
      <c r="D35" s="13"/>
      <c r="E35" s="13"/>
      <c r="F35" s="170"/>
      <c r="G35" s="170"/>
      <c r="H35" s="170"/>
      <c r="I35" s="167"/>
      <c r="J35" s="170"/>
      <c r="K35" s="14"/>
      <c r="L35" s="170"/>
      <c r="M35" s="7"/>
      <c r="N35" s="7"/>
    </row>
    <row r="36" spans="1:14" ht="19">
      <c r="A36" s="194" t="s">
        <v>241</v>
      </c>
      <c r="B36" s="207"/>
      <c r="C36" s="194"/>
      <c r="D36" s="13"/>
      <c r="E36" s="13"/>
      <c r="F36" s="170"/>
      <c r="G36" s="170"/>
      <c r="H36" s="170"/>
      <c r="I36" s="167"/>
      <c r="J36" s="170"/>
      <c r="K36" s="14"/>
      <c r="L36" s="170"/>
      <c r="M36" s="7"/>
      <c r="N36" s="7"/>
    </row>
    <row r="37" spans="1:14" ht="19">
      <c r="A37" s="194"/>
      <c r="B37" s="18" t="s">
        <v>242</v>
      </c>
      <c r="C37" s="194"/>
      <c r="D37" s="13"/>
      <c r="E37" s="13"/>
      <c r="F37" s="170">
        <f>+F34-F38</f>
        <v>88419301.730000004</v>
      </c>
      <c r="G37" s="170"/>
      <c r="H37" s="170">
        <f>+H34-H38</f>
        <v>41117096.699999981</v>
      </c>
      <c r="I37" s="170"/>
      <c r="J37" s="170">
        <f>J34</f>
        <v>-31349120.510000002</v>
      </c>
      <c r="K37" s="170"/>
      <c r="L37" s="170">
        <f>L34</f>
        <v>-21657530.09</v>
      </c>
      <c r="M37" s="7"/>
      <c r="N37" s="7"/>
    </row>
    <row r="38" spans="1:14" ht="19">
      <c r="A38" s="18"/>
      <c r="B38" s="9" t="s">
        <v>235</v>
      </c>
      <c r="C38" s="9"/>
      <c r="D38" s="13"/>
      <c r="E38" s="13"/>
      <c r="F38" s="181">
        <v>-214804.89</v>
      </c>
      <c r="G38" s="22"/>
      <c r="H38" s="181">
        <v>-206172.73</v>
      </c>
      <c r="I38" s="184"/>
      <c r="J38" s="185">
        <v>0</v>
      </c>
      <c r="K38" s="184"/>
      <c r="L38" s="185">
        <v>0</v>
      </c>
      <c r="M38" s="7"/>
      <c r="N38" s="7"/>
    </row>
    <row r="39" spans="1:14" ht="18" thickBot="1">
      <c r="A39" s="9"/>
      <c r="B39" s="9"/>
      <c r="C39" s="9"/>
      <c r="D39" s="32"/>
      <c r="E39" s="32"/>
      <c r="F39" s="174">
        <f>SUM(F37:F38)</f>
        <v>88204496.840000004</v>
      </c>
      <c r="G39" s="173"/>
      <c r="H39" s="174">
        <f>SUM(H37:H38)</f>
        <v>40910923.969999984</v>
      </c>
      <c r="I39" s="167"/>
      <c r="J39" s="174">
        <f>SUM(J37:J38)</f>
        <v>-31349120.510000002</v>
      </c>
      <c r="K39" s="167"/>
      <c r="L39" s="174">
        <f>SUM(L37:L38)</f>
        <v>-21657530.09</v>
      </c>
      <c r="M39" s="7"/>
      <c r="N39" s="7"/>
    </row>
    <row r="40" spans="1:14" ht="7.5" customHeight="1" thickTop="1">
      <c r="A40" s="9"/>
      <c r="B40" s="9"/>
      <c r="C40" s="9"/>
      <c r="D40" s="13"/>
      <c r="E40" s="13"/>
      <c r="F40" s="170"/>
      <c r="G40" s="170"/>
      <c r="H40" s="170"/>
      <c r="I40" s="167"/>
      <c r="J40" s="22"/>
      <c r="K40" s="167"/>
      <c r="L40" s="22"/>
      <c r="M40" s="7"/>
      <c r="N40" s="7"/>
    </row>
    <row r="41" spans="1:14" ht="15" customHeight="1">
      <c r="A41" s="18" t="s">
        <v>249</v>
      </c>
      <c r="B41" s="9"/>
      <c r="C41" s="9"/>
      <c r="D41" s="208"/>
      <c r="E41" s="13"/>
      <c r="F41" s="170"/>
      <c r="G41" s="170"/>
      <c r="H41" s="170"/>
      <c r="I41" s="167"/>
      <c r="J41" s="22"/>
      <c r="K41" s="167"/>
      <c r="L41" s="22"/>
      <c r="M41" s="7"/>
      <c r="N41" s="7"/>
    </row>
    <row r="42" spans="1:14" ht="18" thickBot="1">
      <c r="A42" s="9"/>
      <c r="B42" s="18" t="s">
        <v>209</v>
      </c>
      <c r="C42" s="9"/>
      <c r="D42" s="13">
        <v>23</v>
      </c>
      <c r="E42" s="13"/>
      <c r="F42" s="199">
        <f>+F37/F43</f>
        <v>9.4919293732897234E-3</v>
      </c>
      <c r="G42" s="209"/>
      <c r="H42" s="199">
        <f>+H37/H43</f>
        <v>4.9095525506848677E-3</v>
      </c>
      <c r="I42" s="210"/>
      <c r="J42" s="199">
        <f>+J37/J43</f>
        <v>-3.3653696870884382E-3</v>
      </c>
      <c r="K42" s="210"/>
      <c r="L42" s="199">
        <f>+L37/L43</f>
        <v>-2.5859992710743564E-3</v>
      </c>
      <c r="M42" s="7"/>
      <c r="N42" s="4"/>
    </row>
    <row r="43" spans="1:14" ht="18.5" thickTop="1" thickBot="1">
      <c r="A43" s="9"/>
      <c r="B43" s="18" t="s">
        <v>165</v>
      </c>
      <c r="C43" s="9"/>
      <c r="D43" s="13"/>
      <c r="E43" s="13"/>
      <c r="F43" s="189">
        <v>9315208558</v>
      </c>
      <c r="G43" s="211"/>
      <c r="H43" s="189">
        <v>8374917322</v>
      </c>
      <c r="I43" s="212"/>
      <c r="J43" s="189">
        <v>9315208558</v>
      </c>
      <c r="K43" s="211"/>
      <c r="L43" s="189">
        <v>8374917322</v>
      </c>
      <c r="M43" s="7"/>
      <c r="N43" s="4"/>
    </row>
    <row r="44" spans="1:14" ht="6.75" customHeight="1" thickTop="1">
      <c r="A44" s="9"/>
      <c r="B44" s="9"/>
      <c r="C44" s="9"/>
      <c r="D44" s="13"/>
      <c r="E44" s="13"/>
      <c r="F44" s="179"/>
      <c r="G44" s="179"/>
      <c r="H44" s="179"/>
      <c r="I44" s="167"/>
      <c r="J44" s="14"/>
      <c r="K44" s="167"/>
      <c r="L44" s="14"/>
      <c r="M44" s="7"/>
      <c r="N44" s="4"/>
    </row>
    <row r="45" spans="1:14" ht="14.25" customHeight="1">
      <c r="A45" s="18" t="s">
        <v>250</v>
      </c>
      <c r="B45" s="9"/>
      <c r="C45" s="9"/>
      <c r="D45" s="208"/>
      <c r="E45" s="13"/>
      <c r="F45" s="170"/>
      <c r="G45" s="170"/>
      <c r="H45" s="170"/>
      <c r="I45" s="167"/>
      <c r="J45" s="22"/>
      <c r="K45" s="167"/>
      <c r="L45" s="22"/>
      <c r="M45" s="7"/>
      <c r="N45" s="7"/>
    </row>
    <row r="46" spans="1:14" ht="18" thickBot="1">
      <c r="A46" s="9"/>
      <c r="B46" s="18" t="s">
        <v>209</v>
      </c>
      <c r="C46" s="9"/>
      <c r="D46" s="13">
        <v>23</v>
      </c>
      <c r="E46" s="13"/>
      <c r="F46" s="199">
        <f>+F37/F47</f>
        <v>1.1553949310770036E-2</v>
      </c>
      <c r="G46" s="209"/>
      <c r="H46" s="199">
        <f>+H37/H47</f>
        <v>4.4548377086731494E-3</v>
      </c>
      <c r="I46" s="210"/>
      <c r="J46" s="199">
        <f>+J37/J47</f>
        <v>-4.0964601871184819E-3</v>
      </c>
      <c r="K46" s="210"/>
      <c r="L46" s="199">
        <f>+L37/L47</f>
        <v>-2.3464881877629123E-3</v>
      </c>
      <c r="M46" s="7"/>
      <c r="N46" s="4"/>
    </row>
    <row r="47" spans="1:14" ht="18.5" thickTop="1" thickBot="1">
      <c r="A47" s="9"/>
      <c r="B47" s="18" t="s">
        <v>165</v>
      </c>
      <c r="C47" s="9"/>
      <c r="D47" s="13"/>
      <c r="E47" s="13"/>
      <c r="F47" s="189">
        <v>7652734087</v>
      </c>
      <c r="G47" s="213"/>
      <c r="H47" s="189">
        <v>9229763100</v>
      </c>
      <c r="I47" s="212"/>
      <c r="J47" s="189">
        <v>7652734087</v>
      </c>
      <c r="K47" s="211"/>
      <c r="L47" s="189">
        <v>9229763100</v>
      </c>
      <c r="M47" s="7"/>
      <c r="N47" s="4"/>
    </row>
    <row r="48" spans="1:14" ht="8.25" customHeight="1" thickTop="1">
      <c r="A48" s="9"/>
      <c r="B48" s="9"/>
      <c r="C48" s="9"/>
      <c r="D48" s="13"/>
      <c r="E48" s="13"/>
      <c r="F48" s="13"/>
      <c r="G48" s="13"/>
      <c r="H48" s="13"/>
      <c r="I48" s="9"/>
      <c r="J48" s="11"/>
      <c r="K48" s="9"/>
      <c r="L48" s="11"/>
      <c r="M48" s="7"/>
      <c r="N48" s="4"/>
    </row>
    <row r="49" spans="1:14">
      <c r="A49" s="15" t="str">
        <f>+'BS_Q1-66'!A43</f>
        <v>The accompanying interim notes to financial statements are an integral part of these interim financial statements.</v>
      </c>
      <c r="B49" s="9"/>
      <c r="C49" s="9"/>
      <c r="D49" s="13"/>
      <c r="E49" s="13"/>
      <c r="F49" s="13"/>
      <c r="G49" s="13"/>
      <c r="H49" s="13"/>
      <c r="I49" s="9"/>
      <c r="J49" s="11"/>
      <c r="K49" s="9"/>
      <c r="L49" s="11"/>
      <c r="M49" s="7"/>
      <c r="N49" s="4"/>
    </row>
    <row r="50" spans="1:14">
      <c r="A50" s="9"/>
      <c r="B50" s="9"/>
      <c r="C50" s="9"/>
      <c r="D50" s="13"/>
      <c r="E50" s="13"/>
      <c r="F50" s="13"/>
      <c r="G50" s="13"/>
      <c r="H50" s="13"/>
      <c r="I50" s="9"/>
      <c r="J50" s="11"/>
      <c r="K50" s="9"/>
      <c r="L50" s="11"/>
      <c r="M50" s="7"/>
      <c r="N50" s="4"/>
    </row>
    <row r="51" spans="1:14" ht="16.5" customHeight="1">
      <c r="A51" s="9"/>
      <c r="B51" s="9"/>
      <c r="C51" s="9"/>
      <c r="D51" s="13"/>
      <c r="E51" s="13"/>
      <c r="F51" s="13"/>
      <c r="G51" s="13"/>
      <c r="H51" s="13"/>
      <c r="I51" s="9"/>
      <c r="J51" s="11"/>
      <c r="K51" s="9"/>
      <c r="L51" s="11"/>
      <c r="M51" s="7"/>
      <c r="N51" s="4"/>
    </row>
    <row r="52" spans="1:14">
      <c r="A52" s="13"/>
      <c r="B52" s="25" t="s">
        <v>145</v>
      </c>
      <c r="C52" s="13"/>
      <c r="D52" s="25"/>
      <c r="E52" s="13"/>
      <c r="G52" s="13"/>
      <c r="H52" s="25" t="s">
        <v>145</v>
      </c>
      <c r="I52" s="13"/>
      <c r="J52" s="13"/>
      <c r="K52" s="13"/>
      <c r="L52" s="13"/>
    </row>
    <row r="53" spans="1:14" ht="11.25" hidden="1" customHeight="1">
      <c r="A53" s="221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  <row r="54" spans="1:14" ht="1.5" customHeight="1">
      <c r="B54" s="9"/>
      <c r="C54" s="9"/>
      <c r="D54" s="32"/>
      <c r="E54" s="32"/>
      <c r="F54" s="17"/>
      <c r="G54" s="32"/>
      <c r="H54" s="17"/>
      <c r="I54" s="9"/>
      <c r="J54" s="17"/>
      <c r="K54" s="17"/>
      <c r="L54" s="200"/>
    </row>
    <row r="55" spans="1:14">
      <c r="A55" s="9"/>
      <c r="B55" s="9"/>
      <c r="C55" s="9"/>
      <c r="D55" s="32"/>
      <c r="E55" s="32"/>
      <c r="F55" s="17"/>
      <c r="G55" s="32"/>
      <c r="H55" s="17"/>
      <c r="I55" s="9"/>
      <c r="J55" s="237" t="s">
        <v>373</v>
      </c>
      <c r="K55" s="237"/>
      <c r="L55" s="237"/>
    </row>
    <row r="56" spans="1:14">
      <c r="A56" s="222" t="str">
        <f>A2</f>
        <v>THE BROOKER GROUP PUBLIC COMPANY LIMITED AND ITS SUBSIDIARIES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</row>
    <row r="57" spans="1:14">
      <c r="A57" s="222" t="s">
        <v>228</v>
      </c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</row>
    <row r="58" spans="1:14">
      <c r="A58" s="222" t="str">
        <f>A4</f>
        <v>FOR  THE THREE MONTH PERIOD ENDED MARCH 31, 2023</v>
      </c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</row>
    <row r="59" spans="1:14">
      <c r="A59" s="9"/>
      <c r="B59" s="9"/>
      <c r="C59" s="27"/>
      <c r="F59" s="223" t="s">
        <v>132</v>
      </c>
      <c r="G59" s="223"/>
      <c r="H59" s="223"/>
      <c r="I59" s="223"/>
      <c r="J59" s="223"/>
      <c r="K59" s="223"/>
      <c r="L59" s="223"/>
    </row>
    <row r="60" spans="1:14" ht="19">
      <c r="A60" s="9"/>
      <c r="B60" s="9"/>
      <c r="C60" s="9" t="s">
        <v>4</v>
      </c>
      <c r="F60" s="220" t="s">
        <v>205</v>
      </c>
      <c r="G60" s="220"/>
      <c r="H60" s="220"/>
      <c r="I60" s="82"/>
      <c r="J60" s="220" t="s">
        <v>206</v>
      </c>
      <c r="K60" s="220"/>
      <c r="L60" s="220"/>
    </row>
    <row r="61" spans="1:14" ht="19">
      <c r="A61" s="9"/>
      <c r="B61" s="9"/>
      <c r="C61" s="9"/>
      <c r="F61" s="236" t="str">
        <f>+F7</f>
        <v>For the three-month period ended March 31</v>
      </c>
      <c r="G61" s="236"/>
      <c r="H61" s="236"/>
      <c r="I61" s="236"/>
      <c r="J61" s="236"/>
      <c r="K61" s="236"/>
      <c r="L61" s="236"/>
    </row>
    <row r="62" spans="1:14">
      <c r="A62" s="9"/>
      <c r="B62" s="9"/>
      <c r="C62" s="9"/>
      <c r="D62" s="130" t="s">
        <v>133</v>
      </c>
      <c r="F62" s="130">
        <f>+F8</f>
        <v>2023</v>
      </c>
      <c r="H62" s="130">
        <f>+H8</f>
        <v>2022</v>
      </c>
      <c r="J62" s="130">
        <f>+J8</f>
        <v>2023</v>
      </c>
      <c r="K62" s="6"/>
      <c r="L62" s="130">
        <f>+L8</f>
        <v>2022</v>
      </c>
    </row>
    <row r="63" spans="1:14">
      <c r="A63" s="132"/>
      <c r="B63" s="9"/>
      <c r="C63" s="9"/>
      <c r="D63" s="13"/>
      <c r="E63" s="13"/>
      <c r="F63" s="10"/>
      <c r="G63" s="10"/>
      <c r="H63" s="8"/>
      <c r="I63" s="9"/>
      <c r="J63" s="11"/>
      <c r="K63" s="9"/>
      <c r="L63" s="8"/>
    </row>
    <row r="64" spans="1:14">
      <c r="A64" s="9" t="s">
        <v>369</v>
      </c>
      <c r="B64" s="9"/>
      <c r="C64" s="9"/>
      <c r="D64" s="13"/>
      <c r="E64" s="13"/>
      <c r="F64" s="183">
        <f>+F34</f>
        <v>88204496.840000004</v>
      </c>
      <c r="G64" s="170"/>
      <c r="H64" s="183">
        <f>+H34</f>
        <v>40910923.969999984</v>
      </c>
      <c r="I64" s="167"/>
      <c r="J64" s="183">
        <f>+J34</f>
        <v>-31349120.510000002</v>
      </c>
      <c r="K64" s="167"/>
      <c r="L64" s="183">
        <f>+L34</f>
        <v>-21657530.09</v>
      </c>
    </row>
    <row r="65" spans="1:12">
      <c r="A65" s="9"/>
      <c r="B65" s="9"/>
      <c r="C65" s="9"/>
      <c r="D65" s="13"/>
      <c r="E65" s="13"/>
      <c r="F65" s="173"/>
      <c r="G65" s="170"/>
      <c r="H65" s="173"/>
      <c r="I65" s="167"/>
      <c r="J65" s="173"/>
      <c r="K65" s="167"/>
      <c r="L65" s="173"/>
    </row>
    <row r="66" spans="1:12">
      <c r="A66" s="9" t="s">
        <v>243</v>
      </c>
      <c r="B66" s="9"/>
      <c r="C66" s="9"/>
      <c r="D66" s="13"/>
      <c r="E66" s="13"/>
      <c r="F66" s="173"/>
      <c r="G66" s="170"/>
      <c r="H66" s="173"/>
      <c r="I66" s="167"/>
      <c r="J66" s="22"/>
      <c r="K66" s="167"/>
      <c r="L66" s="22"/>
    </row>
    <row r="67" spans="1:12">
      <c r="A67" s="9" t="s">
        <v>297</v>
      </c>
      <c r="B67" s="214"/>
      <c r="C67" s="214"/>
      <c r="D67" s="13"/>
      <c r="E67" s="13"/>
      <c r="F67" s="24"/>
      <c r="G67" s="170"/>
      <c r="H67" s="3"/>
      <c r="J67" s="3"/>
      <c r="L67" s="3"/>
    </row>
    <row r="68" spans="1:12">
      <c r="A68" s="214"/>
      <c r="B68" s="9" t="s">
        <v>298</v>
      </c>
      <c r="C68" s="214"/>
      <c r="D68" s="13"/>
      <c r="E68" s="13"/>
      <c r="F68" s="24"/>
      <c r="G68" s="170"/>
      <c r="H68" s="24"/>
      <c r="I68" s="167"/>
      <c r="J68" s="22"/>
      <c r="K68" s="167"/>
      <c r="L68" s="22"/>
    </row>
    <row r="69" spans="1:12">
      <c r="A69" s="9"/>
      <c r="B69" s="215" t="s">
        <v>269</v>
      </c>
      <c r="C69" s="9"/>
      <c r="D69" s="13"/>
      <c r="E69" s="13"/>
      <c r="F69" s="24">
        <v>477033.67</v>
      </c>
      <c r="G69" s="170"/>
      <c r="H69" s="24">
        <v>1292036.82</v>
      </c>
      <c r="I69" s="167"/>
      <c r="J69" s="22">
        <v>0</v>
      </c>
      <c r="K69" s="167"/>
      <c r="L69" s="22">
        <v>0</v>
      </c>
    </row>
    <row r="70" spans="1:12" ht="5.25" customHeight="1">
      <c r="A70" s="9"/>
      <c r="B70" s="215"/>
      <c r="C70" s="9"/>
      <c r="D70" s="13"/>
      <c r="E70" s="13"/>
      <c r="F70" s="24"/>
      <c r="G70" s="170"/>
      <c r="H70" s="24"/>
      <c r="I70" s="167"/>
      <c r="J70" s="22"/>
      <c r="K70" s="167"/>
      <c r="L70" s="22"/>
    </row>
    <row r="71" spans="1:12">
      <c r="A71" s="9" t="s">
        <v>299</v>
      </c>
      <c r="B71" s="214"/>
      <c r="C71" s="9"/>
      <c r="D71" s="13"/>
      <c r="E71" s="13"/>
      <c r="F71" s="24"/>
      <c r="G71" s="170"/>
      <c r="H71" s="24"/>
      <c r="I71" s="167"/>
      <c r="J71" s="22"/>
      <c r="K71" s="167"/>
      <c r="L71" s="22"/>
    </row>
    <row r="72" spans="1:12">
      <c r="A72" s="214"/>
      <c r="B72" s="9" t="s">
        <v>298</v>
      </c>
      <c r="C72" s="9"/>
      <c r="D72" s="13"/>
      <c r="E72" s="13"/>
      <c r="F72" s="24"/>
      <c r="G72" s="170"/>
      <c r="H72" s="24"/>
      <c r="I72" s="167"/>
      <c r="J72" s="22"/>
      <c r="K72" s="167"/>
      <c r="L72" s="22"/>
    </row>
    <row r="73" spans="1:12">
      <c r="A73" s="9"/>
      <c r="B73" s="9" t="s">
        <v>300</v>
      </c>
      <c r="C73" s="9"/>
      <c r="D73" s="13">
        <v>20</v>
      </c>
      <c r="E73" s="13"/>
      <c r="F73" s="24">
        <v>0</v>
      </c>
      <c r="G73" s="170"/>
      <c r="H73" s="24">
        <v>-287853</v>
      </c>
      <c r="I73" s="167"/>
      <c r="J73" s="22">
        <v>0</v>
      </c>
      <c r="K73" s="167"/>
      <c r="L73" s="22">
        <v>0</v>
      </c>
    </row>
    <row r="74" spans="1:12">
      <c r="A74" s="9"/>
      <c r="B74" s="9" t="s">
        <v>301</v>
      </c>
      <c r="C74" s="9"/>
      <c r="D74" s="13"/>
      <c r="E74" s="13"/>
      <c r="F74" s="183">
        <v>0</v>
      </c>
      <c r="G74" s="170"/>
      <c r="H74" s="183">
        <v>57570.6</v>
      </c>
      <c r="I74" s="167"/>
      <c r="J74" s="169">
        <v>0</v>
      </c>
      <c r="K74" s="167"/>
      <c r="L74" s="169">
        <v>0</v>
      </c>
    </row>
    <row r="75" spans="1:12">
      <c r="A75" s="9" t="s">
        <v>376</v>
      </c>
      <c r="B75" s="9"/>
      <c r="C75" s="9"/>
      <c r="D75" s="13"/>
      <c r="E75" s="13"/>
      <c r="F75" s="186">
        <f>SUM(F67:F74)</f>
        <v>477033.67</v>
      </c>
      <c r="G75" s="170"/>
      <c r="H75" s="186">
        <f>SUM(H68:H74)</f>
        <v>1061754.4200000002</v>
      </c>
      <c r="I75" s="167"/>
      <c r="J75" s="186">
        <f>SUM(J68:J74)</f>
        <v>0</v>
      </c>
      <c r="K75" s="167"/>
      <c r="L75" s="186">
        <f>SUM(L68:L74)</f>
        <v>0</v>
      </c>
    </row>
    <row r="76" spans="1:12">
      <c r="A76" s="9"/>
      <c r="B76" s="9"/>
      <c r="C76" s="9"/>
      <c r="D76" s="13"/>
      <c r="E76" s="13"/>
      <c r="F76" s="173"/>
      <c r="G76" s="170"/>
      <c r="H76" s="173"/>
      <c r="I76" s="167"/>
      <c r="J76" s="14"/>
      <c r="K76" s="167"/>
      <c r="L76" s="14"/>
    </row>
    <row r="77" spans="1:12" ht="18" thickBot="1">
      <c r="A77" s="9" t="s">
        <v>368</v>
      </c>
      <c r="B77" s="9"/>
      <c r="C77" s="9"/>
      <c r="D77" s="13"/>
      <c r="E77" s="13"/>
      <c r="F77" s="180">
        <f>+F64+F75</f>
        <v>88681530.510000005</v>
      </c>
      <c r="G77" s="170"/>
      <c r="H77" s="180">
        <f>+H64+H75</f>
        <v>41972678.389999986</v>
      </c>
      <c r="I77" s="167"/>
      <c r="J77" s="180">
        <f>+J64+J75</f>
        <v>-31349120.510000002</v>
      </c>
      <c r="K77" s="167"/>
      <c r="L77" s="180">
        <f>+L64+L75</f>
        <v>-21657530.09</v>
      </c>
    </row>
    <row r="78" spans="1:12" ht="18" thickTop="1">
      <c r="A78" s="9"/>
      <c r="B78" s="9"/>
      <c r="C78" s="9"/>
      <c r="D78" s="13"/>
      <c r="E78" s="13"/>
      <c r="F78" s="179"/>
      <c r="G78" s="179"/>
      <c r="H78" s="179"/>
      <c r="I78" s="167"/>
      <c r="J78" s="14"/>
      <c r="K78" s="167"/>
      <c r="L78" s="14"/>
    </row>
    <row r="79" spans="1:12" ht="19">
      <c r="A79" s="18" t="s">
        <v>244</v>
      </c>
      <c r="B79" s="18"/>
      <c r="C79" s="18"/>
      <c r="D79" s="216"/>
      <c r="E79" s="158"/>
      <c r="F79" s="185"/>
      <c r="G79" s="217"/>
      <c r="H79" s="185"/>
      <c r="I79" s="184"/>
      <c r="J79" s="185"/>
      <c r="K79" s="217"/>
      <c r="L79" s="217"/>
    </row>
    <row r="80" spans="1:12" ht="19">
      <c r="A80" s="18"/>
      <c r="B80" s="18" t="s">
        <v>242</v>
      </c>
      <c r="C80" s="18"/>
      <c r="D80" s="216"/>
      <c r="E80" s="218">
        <v>852812933</v>
      </c>
      <c r="F80" s="24">
        <f>+F77-F81</f>
        <v>88896335.400000006</v>
      </c>
      <c r="G80" s="170"/>
      <c r="H80" s="24">
        <f>+H77-H81</f>
        <v>42178851.119999982</v>
      </c>
      <c r="I80" s="170"/>
      <c r="J80" s="24">
        <f>+J77-J81</f>
        <v>-31349120.510000002</v>
      </c>
      <c r="K80" s="170"/>
      <c r="L80" s="24">
        <f>+L77-L81</f>
        <v>-21657530.09</v>
      </c>
    </row>
    <row r="81" spans="1:12" ht="19">
      <c r="A81" s="18"/>
      <c r="B81" s="9" t="s">
        <v>235</v>
      </c>
      <c r="C81" s="9"/>
      <c r="D81" s="216"/>
      <c r="E81" s="218">
        <v>-1541152</v>
      </c>
      <c r="F81" s="24">
        <f>+F38</f>
        <v>-214804.89</v>
      </c>
      <c r="G81" s="22"/>
      <c r="H81" s="24">
        <f>+H38</f>
        <v>-206172.73</v>
      </c>
      <c r="I81" s="184"/>
      <c r="J81" s="24">
        <f>+J38</f>
        <v>0</v>
      </c>
      <c r="K81" s="184"/>
      <c r="L81" s="24">
        <f>+L38</f>
        <v>0</v>
      </c>
    </row>
    <row r="82" spans="1:12" ht="19.5" thickBot="1">
      <c r="A82" s="219"/>
      <c r="B82" s="219"/>
      <c r="C82" s="219"/>
      <c r="D82" s="216"/>
      <c r="E82" s="218"/>
      <c r="F82" s="187">
        <f>SUM(F80:F81)</f>
        <v>88681530.510000005</v>
      </c>
      <c r="G82" s="217"/>
      <c r="H82" s="206">
        <f>SUM(H80:H81)</f>
        <v>41972678.389999986</v>
      </c>
      <c r="I82" s="217"/>
      <c r="J82" s="187">
        <f>SUM(J80:J81)</f>
        <v>-31349120.510000002</v>
      </c>
      <c r="K82" s="217"/>
      <c r="L82" s="206">
        <f>SUM(L80:L81)</f>
        <v>-21657530.09</v>
      </c>
    </row>
    <row r="83" spans="1:12" ht="19.5" thickTop="1">
      <c r="A83" s="219"/>
      <c r="B83" s="219"/>
      <c r="C83" s="219"/>
      <c r="D83" s="216"/>
      <c r="E83" s="218"/>
      <c r="F83" s="24"/>
      <c r="G83" s="217"/>
      <c r="H83" s="170"/>
      <c r="I83" s="217"/>
      <c r="J83" s="170"/>
      <c r="K83" s="217"/>
      <c r="L83" s="170"/>
    </row>
    <row r="84" spans="1:12" ht="19">
      <c r="A84" s="15" t="str">
        <f>+A49</f>
        <v>The accompanying interim notes to financial statements are an integral part of these interim financial statements.</v>
      </c>
      <c r="B84" s="219"/>
      <c r="C84" s="219"/>
      <c r="D84" s="216"/>
      <c r="E84" s="218"/>
      <c r="F84" s="24"/>
      <c r="G84" s="217"/>
      <c r="H84" s="170"/>
      <c r="I84" s="217"/>
      <c r="J84" s="170"/>
      <c r="K84" s="217"/>
      <c r="L84" s="170"/>
    </row>
    <row r="85" spans="1:12" ht="19">
      <c r="A85" s="219"/>
      <c r="B85" s="219"/>
      <c r="C85" s="219"/>
      <c r="D85" s="216"/>
      <c r="E85" s="218"/>
      <c r="F85" s="24"/>
      <c r="G85" s="217"/>
      <c r="H85" s="170"/>
      <c r="I85" s="217"/>
      <c r="J85" s="170"/>
      <c r="K85" s="217"/>
      <c r="L85" s="170"/>
    </row>
    <row r="86" spans="1:12" ht="19">
      <c r="A86" s="219"/>
      <c r="B86" s="219"/>
      <c r="C86" s="219"/>
      <c r="D86" s="216"/>
      <c r="E86" s="218"/>
      <c r="F86" s="24"/>
      <c r="G86" s="217"/>
      <c r="H86" s="170"/>
      <c r="I86" s="217"/>
      <c r="J86" s="170"/>
      <c r="K86" s="217"/>
      <c r="L86" s="170"/>
    </row>
    <row r="87" spans="1:12" ht="19">
      <c r="A87" s="219"/>
      <c r="B87" s="219"/>
      <c r="C87" s="219"/>
      <c r="D87" s="216"/>
      <c r="E87" s="218"/>
      <c r="F87" s="24"/>
      <c r="G87" s="217"/>
      <c r="H87" s="170"/>
      <c r="I87" s="217"/>
      <c r="J87" s="170"/>
      <c r="K87" s="217"/>
      <c r="L87" s="170"/>
    </row>
    <row r="88" spans="1:12" ht="19">
      <c r="A88" s="219"/>
      <c r="B88" s="219"/>
      <c r="C88" s="219"/>
      <c r="D88" s="216"/>
      <c r="E88" s="218"/>
      <c r="F88" s="24"/>
      <c r="G88" s="217"/>
      <c r="H88" s="170"/>
      <c r="I88" s="217"/>
      <c r="J88" s="170"/>
      <c r="K88" s="217"/>
      <c r="L88" s="170"/>
    </row>
    <row r="89" spans="1:12" ht="19">
      <c r="A89" s="219"/>
      <c r="B89" s="219"/>
      <c r="C89" s="219"/>
      <c r="D89" s="216"/>
      <c r="E89" s="218"/>
      <c r="F89" s="24"/>
      <c r="G89" s="217"/>
      <c r="H89" s="170"/>
      <c r="I89" s="217"/>
      <c r="J89" s="170"/>
      <c r="K89" s="217"/>
      <c r="L89" s="170"/>
    </row>
    <row r="90" spans="1:12" ht="19">
      <c r="A90" s="219"/>
      <c r="B90" s="219"/>
      <c r="C90" s="219"/>
      <c r="D90" s="216"/>
      <c r="E90" s="218"/>
      <c r="F90" s="24"/>
      <c r="G90" s="217"/>
      <c r="H90" s="170"/>
      <c r="I90" s="217"/>
      <c r="J90" s="170"/>
      <c r="K90" s="217"/>
      <c r="L90" s="170"/>
    </row>
    <row r="91" spans="1:12" ht="19">
      <c r="A91" s="219"/>
      <c r="B91" s="219"/>
      <c r="C91" s="219"/>
      <c r="D91" s="216"/>
      <c r="E91" s="218"/>
      <c r="F91" s="24"/>
      <c r="G91" s="217"/>
      <c r="H91" s="170"/>
      <c r="I91" s="217"/>
      <c r="J91" s="170"/>
      <c r="K91" s="217"/>
      <c r="L91" s="170"/>
    </row>
    <row r="92" spans="1:12" ht="19">
      <c r="A92" s="219"/>
      <c r="B92" s="219"/>
      <c r="C92" s="219"/>
      <c r="D92" s="216"/>
      <c r="E92" s="218"/>
      <c r="F92" s="24"/>
      <c r="G92" s="217"/>
      <c r="H92" s="170"/>
      <c r="I92" s="217"/>
      <c r="J92" s="170"/>
      <c r="K92" s="217"/>
      <c r="L92" s="170"/>
    </row>
    <row r="93" spans="1:12" ht="19">
      <c r="A93" s="219"/>
      <c r="B93" s="219"/>
      <c r="C93" s="219"/>
      <c r="D93" s="216"/>
      <c r="E93" s="218"/>
      <c r="F93" s="24"/>
      <c r="G93" s="217"/>
      <c r="H93" s="170"/>
      <c r="I93" s="217"/>
      <c r="J93" s="170"/>
      <c r="K93" s="217"/>
      <c r="L93" s="170"/>
    </row>
    <row r="94" spans="1:12" ht="19">
      <c r="A94" s="219"/>
      <c r="B94" s="219"/>
      <c r="C94" s="219"/>
      <c r="D94" s="216"/>
      <c r="E94" s="218"/>
      <c r="F94" s="24"/>
      <c r="G94" s="217"/>
      <c r="H94" s="170"/>
      <c r="I94" s="217"/>
      <c r="J94" s="170"/>
      <c r="K94" s="217"/>
      <c r="L94" s="170"/>
    </row>
    <row r="95" spans="1:12" ht="19">
      <c r="A95" s="219"/>
      <c r="B95" s="219"/>
      <c r="C95" s="219"/>
      <c r="D95" s="216"/>
      <c r="E95" s="218"/>
      <c r="F95" s="24"/>
      <c r="G95" s="217"/>
      <c r="H95" s="170"/>
      <c r="I95" s="217"/>
      <c r="J95" s="170"/>
      <c r="K95" s="217"/>
      <c r="L95" s="170"/>
    </row>
    <row r="96" spans="1:12" ht="19">
      <c r="A96" s="219"/>
      <c r="B96" s="219"/>
      <c r="C96" s="219"/>
      <c r="D96" s="216"/>
      <c r="E96" s="218"/>
      <c r="F96" s="24"/>
      <c r="G96" s="217"/>
      <c r="H96" s="170"/>
      <c r="I96" s="217"/>
      <c r="J96" s="170"/>
      <c r="K96" s="217"/>
      <c r="L96" s="170"/>
    </row>
    <row r="97" spans="1:12" ht="19">
      <c r="A97" s="219"/>
      <c r="B97" s="219"/>
      <c r="C97" s="219"/>
      <c r="D97" s="216"/>
      <c r="E97" s="218"/>
      <c r="F97" s="24"/>
      <c r="G97" s="218"/>
      <c r="H97" s="10"/>
      <c r="I97" s="218"/>
      <c r="J97" s="10"/>
      <c r="K97" s="218"/>
      <c r="L97" s="10"/>
    </row>
    <row r="98" spans="1:12">
      <c r="A98" s="137"/>
      <c r="B98" s="9"/>
      <c r="C98" s="9"/>
      <c r="D98" s="13"/>
      <c r="E98" s="13"/>
      <c r="F98" s="13"/>
      <c r="G98" s="13"/>
      <c r="H98" s="13"/>
      <c r="I98" s="9"/>
      <c r="J98" s="11"/>
      <c r="K98" s="9"/>
      <c r="L98" s="11"/>
    </row>
    <row r="99" spans="1:12">
      <c r="A99" s="9"/>
      <c r="B99" s="9"/>
      <c r="C99" s="9"/>
      <c r="D99" s="13"/>
      <c r="E99" s="13"/>
      <c r="F99" s="13"/>
      <c r="G99" s="13"/>
      <c r="H99" s="13"/>
      <c r="I99" s="9"/>
      <c r="J99" s="11"/>
      <c r="K99" s="9"/>
      <c r="L99" s="11"/>
    </row>
    <row r="100" spans="1:12">
      <c r="A100" s="13"/>
      <c r="B100" s="25" t="s">
        <v>145</v>
      </c>
      <c r="C100" s="13"/>
      <c r="D100" s="25"/>
      <c r="E100" s="13"/>
      <c r="G100" s="13"/>
      <c r="H100" s="25" t="s">
        <v>145</v>
      </c>
      <c r="I100" s="13"/>
      <c r="J100" s="13"/>
      <c r="K100" s="13"/>
      <c r="L100" s="13"/>
    </row>
    <row r="101" spans="1:12">
      <c r="A101" s="221"/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</row>
    <row r="102" spans="1:12">
      <c r="A102" s="221"/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</row>
  </sheetData>
  <mergeCells count="19">
    <mergeCell ref="A56:L56"/>
    <mergeCell ref="A2:L2"/>
    <mergeCell ref="A3:L3"/>
    <mergeCell ref="A4:L4"/>
    <mergeCell ref="A53:L53"/>
    <mergeCell ref="F6:H6"/>
    <mergeCell ref="A102:L102"/>
    <mergeCell ref="A101:L101"/>
    <mergeCell ref="A57:L57"/>
    <mergeCell ref="A58:L58"/>
    <mergeCell ref="F59:L59"/>
    <mergeCell ref="F60:H60"/>
    <mergeCell ref="J60:L60"/>
    <mergeCell ref="F61:L61"/>
    <mergeCell ref="J6:L6"/>
    <mergeCell ref="F5:L5"/>
    <mergeCell ref="F7:L7"/>
    <mergeCell ref="J1:L1"/>
    <mergeCell ref="J55:L55"/>
  </mergeCells>
  <phoneticPr fontId="0" type="noConversion"/>
  <conditionalFormatting sqref="G38 I38:L38 F79:L79 E79:E97 G81:G97 I81:I97 K81:K97">
    <cfRule type="expression" priority="3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1" manualBreakCount="1">
    <brk id="5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7"/>
  <sheetViews>
    <sheetView tabSelected="1" view="pageBreakPreview" topLeftCell="A16" zoomScale="120" zoomScaleNormal="120" zoomScaleSheetLayoutView="120" workbookViewId="0">
      <selection activeCell="G24" sqref="G24"/>
    </sheetView>
  </sheetViews>
  <sheetFormatPr defaultColWidth="9.09765625" defaultRowHeight="16.5" customHeight="1"/>
  <cols>
    <col min="1" max="3" width="2.69921875" style="18" customWidth="1"/>
    <col min="4" max="4" width="44" style="18" bestFit="1" customWidth="1"/>
    <col min="5" max="5" width="6" style="13" customWidth="1"/>
    <col min="6" max="6" width="1.296875" style="13" customWidth="1"/>
    <col min="7" max="7" width="12.3984375" style="18" customWidth="1"/>
    <col min="8" max="8" width="0.69921875" style="18" customWidth="1"/>
    <col min="9" max="9" width="13" style="18" customWidth="1"/>
    <col min="10" max="10" width="0.59765625" style="18" customWidth="1"/>
    <col min="11" max="11" width="13.09765625" style="136" bestFit="1" customWidth="1"/>
    <col min="12" max="12" width="0.69921875" style="18" customWidth="1"/>
    <col min="13" max="13" width="13.09765625" style="18" bestFit="1" customWidth="1"/>
    <col min="14" max="14" width="1.69921875" style="18" customWidth="1"/>
    <col min="15" max="15" width="12.69921875" style="18" customWidth="1"/>
    <col min="16" max="16" width="13.296875" style="18" customWidth="1"/>
    <col min="17" max="16384" width="9.09765625" style="18"/>
  </cols>
  <sheetData>
    <row r="1" spans="1:15" ht="16.5" customHeight="1">
      <c r="K1" s="238" t="s">
        <v>373</v>
      </c>
      <c r="L1" s="238"/>
      <c r="M1" s="238"/>
    </row>
    <row r="2" spans="1:15" ht="16.5" customHeight="1">
      <c r="A2" s="222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15" ht="16.5" customHeight="1">
      <c r="A3" s="227" t="s">
        <v>179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pans="1:15" ht="16.5" customHeight="1">
      <c r="A4" s="227" t="s">
        <v>352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5" ht="16.5" customHeight="1">
      <c r="A5" s="8"/>
      <c r="B5" s="8"/>
      <c r="C5" s="8"/>
      <c r="D5" s="8"/>
      <c r="E5" s="81"/>
      <c r="F5" s="81"/>
      <c r="G5" s="236" t="s">
        <v>166</v>
      </c>
      <c r="H5" s="236"/>
      <c r="I5" s="236"/>
      <c r="J5" s="236"/>
      <c r="K5" s="236"/>
      <c r="L5" s="236"/>
      <c r="M5" s="236"/>
    </row>
    <row r="6" spans="1:15" ht="16.5" customHeight="1">
      <c r="E6" s="81"/>
      <c r="F6" s="81"/>
      <c r="G6" s="220" t="s">
        <v>205</v>
      </c>
      <c r="H6" s="220"/>
      <c r="I6" s="220"/>
      <c r="J6" s="82"/>
      <c r="K6" s="220" t="s">
        <v>206</v>
      </c>
      <c r="L6" s="220"/>
      <c r="M6" s="220"/>
    </row>
    <row r="7" spans="1:15" ht="16.5" customHeight="1">
      <c r="E7" s="81"/>
      <c r="F7" s="81"/>
      <c r="G7" s="236" t="s">
        <v>358</v>
      </c>
      <c r="H7" s="236"/>
      <c r="I7" s="236"/>
      <c r="J7" s="236"/>
      <c r="K7" s="236"/>
      <c r="L7" s="236"/>
      <c r="M7" s="236"/>
    </row>
    <row r="8" spans="1:15" ht="16.5" customHeight="1">
      <c r="E8" s="81"/>
      <c r="F8" s="81"/>
      <c r="G8" s="190">
        <v>2023</v>
      </c>
      <c r="H8" s="81"/>
      <c r="I8" s="190">
        <v>2022</v>
      </c>
      <c r="J8" s="82"/>
      <c r="K8" s="159">
        <f>+G8</f>
        <v>2023</v>
      </c>
      <c r="L8" s="81"/>
      <c r="M8" s="159">
        <f>+I8</f>
        <v>2022</v>
      </c>
      <c r="N8" s="13"/>
      <c r="O8" s="28"/>
    </row>
    <row r="9" spans="1:15" ht="16.5" customHeight="1">
      <c r="A9" s="18" t="s">
        <v>180</v>
      </c>
      <c r="B9" s="15"/>
      <c r="C9" s="15"/>
      <c r="D9" s="15"/>
      <c r="E9" s="81"/>
      <c r="F9" s="21"/>
      <c r="G9" s="156"/>
      <c r="H9" s="156"/>
      <c r="I9" s="156"/>
      <c r="J9" s="136"/>
      <c r="L9" s="136"/>
      <c r="M9" s="136"/>
    </row>
    <row r="10" spans="1:15" ht="16.5" customHeight="1">
      <c r="A10" s="15"/>
      <c r="B10" s="18" t="s">
        <v>270</v>
      </c>
      <c r="C10" s="15"/>
      <c r="D10" s="15"/>
      <c r="E10" s="81"/>
      <c r="F10" s="21"/>
      <c r="G10" s="14">
        <f>+'PL_Q1-66'!F34</f>
        <v>88204496.840000004</v>
      </c>
      <c r="H10" s="14"/>
      <c r="I10" s="14">
        <f>+'PL_Q1-66'!H34</f>
        <v>40910923.969999984</v>
      </c>
      <c r="J10" s="14"/>
      <c r="K10" s="14">
        <f>+'PL_Q1-66'!J34</f>
        <v>-31349120.510000002</v>
      </c>
      <c r="L10" s="14"/>
      <c r="M10" s="14">
        <f>+'PL_Q1-66'!L34</f>
        <v>-21657530.09</v>
      </c>
    </row>
    <row r="11" spans="1:15" ht="16.5" customHeight="1">
      <c r="A11" s="15"/>
      <c r="B11" s="18" t="s">
        <v>182</v>
      </c>
      <c r="C11" s="15"/>
      <c r="D11" s="15"/>
      <c r="E11" s="81"/>
      <c r="F11" s="21"/>
      <c r="G11" s="14"/>
      <c r="H11" s="14"/>
      <c r="I11" s="14"/>
      <c r="J11" s="14"/>
      <c r="K11" s="14"/>
      <c r="L11" s="14"/>
      <c r="M11" s="14"/>
    </row>
    <row r="12" spans="1:15" ht="16.5" customHeight="1">
      <c r="A12" s="15"/>
      <c r="C12" s="18" t="s">
        <v>201</v>
      </c>
      <c r="D12" s="15"/>
      <c r="E12" s="21"/>
      <c r="F12" s="21"/>
      <c r="G12" s="14"/>
      <c r="H12" s="14"/>
      <c r="I12" s="14"/>
      <c r="J12" s="14"/>
      <c r="K12" s="14"/>
      <c r="L12" s="14"/>
      <c r="M12" s="14"/>
    </row>
    <row r="13" spans="1:15" ht="16.5" customHeight="1">
      <c r="A13" s="15"/>
      <c r="C13" s="18" t="s">
        <v>181</v>
      </c>
      <c r="D13" s="18" t="s">
        <v>183</v>
      </c>
      <c r="E13" s="21" t="s">
        <v>341</v>
      </c>
      <c r="F13" s="21"/>
      <c r="G13" s="14">
        <v>6264323.4500000002</v>
      </c>
      <c r="H13" s="14"/>
      <c r="I13" s="14">
        <v>2829225.73</v>
      </c>
      <c r="J13" s="14"/>
      <c r="K13" s="14">
        <v>1764149.53</v>
      </c>
      <c r="L13" s="14"/>
      <c r="M13" s="14">
        <v>1427658.13</v>
      </c>
    </row>
    <row r="14" spans="1:15" ht="16.5" customHeight="1">
      <c r="A14" s="15"/>
      <c r="B14" s="15"/>
      <c r="C14" s="15"/>
      <c r="D14" s="15" t="s">
        <v>219</v>
      </c>
      <c r="E14" s="21">
        <v>7</v>
      </c>
      <c r="F14" s="21"/>
      <c r="G14" s="14">
        <v>0</v>
      </c>
      <c r="H14" s="14"/>
      <c r="I14" s="14">
        <v>-760000</v>
      </c>
      <c r="J14" s="14"/>
      <c r="K14" s="14">
        <v>0</v>
      </c>
      <c r="L14" s="14"/>
      <c r="M14" s="14">
        <v>-760000</v>
      </c>
    </row>
    <row r="15" spans="1:15" ht="16.5" customHeight="1">
      <c r="A15" s="15"/>
      <c r="B15" s="15"/>
      <c r="C15" s="15"/>
      <c r="D15" s="9" t="s">
        <v>324</v>
      </c>
      <c r="E15" s="154" t="s">
        <v>327</v>
      </c>
      <c r="F15" s="21"/>
      <c r="G15" s="14">
        <v>15020797.199999999</v>
      </c>
      <c r="H15" s="22"/>
      <c r="I15" s="14">
        <v>969132.84</v>
      </c>
      <c r="J15" s="22"/>
      <c r="K15" s="14">
        <v>11445203.970000001</v>
      </c>
      <c r="L15" s="14"/>
      <c r="M15" s="14">
        <v>24915220.5</v>
      </c>
    </row>
    <row r="16" spans="1:15" ht="16.5" customHeight="1">
      <c r="A16" s="15"/>
      <c r="B16" s="15"/>
      <c r="C16" s="15"/>
      <c r="D16" s="9" t="s">
        <v>363</v>
      </c>
      <c r="E16" s="154" t="s">
        <v>335</v>
      </c>
      <c r="F16" s="21"/>
      <c r="G16" s="14">
        <v>-137004241.91999999</v>
      </c>
      <c r="H16" s="22"/>
      <c r="I16" s="14">
        <v>70143972.680000007</v>
      </c>
      <c r="J16" s="22"/>
      <c r="K16" s="14">
        <v>-69541.95</v>
      </c>
      <c r="L16" s="14"/>
      <c r="M16" s="14">
        <v>0</v>
      </c>
    </row>
    <row r="17" spans="1:13" ht="16.5" customHeight="1">
      <c r="A17" s="15"/>
      <c r="B17" s="15"/>
      <c r="C17" s="15"/>
      <c r="D17" s="9" t="s">
        <v>336</v>
      </c>
      <c r="E17" s="154" t="s">
        <v>335</v>
      </c>
      <c r="F17" s="21"/>
      <c r="G17" s="14">
        <v>-4780884.5199999996</v>
      </c>
      <c r="H17" s="22"/>
      <c r="I17" s="14">
        <v>-130211799.95999999</v>
      </c>
      <c r="J17" s="22"/>
      <c r="K17" s="14">
        <v>-3651.22</v>
      </c>
      <c r="L17" s="14"/>
      <c r="M17" s="14">
        <v>-42311.97</v>
      </c>
    </row>
    <row r="18" spans="1:13" ht="16.5" customHeight="1">
      <c r="A18" s="15"/>
      <c r="B18" s="15"/>
      <c r="C18" s="15"/>
      <c r="D18" s="15" t="s">
        <v>310</v>
      </c>
      <c r="F18" s="21"/>
      <c r="G18" s="14">
        <v>0</v>
      </c>
      <c r="H18" s="22"/>
      <c r="I18" s="14">
        <v>-1014277.2</v>
      </c>
      <c r="J18" s="22"/>
      <c r="K18" s="167">
        <v>0</v>
      </c>
      <c r="L18" s="14"/>
      <c r="M18" s="167">
        <v>-1014277.2</v>
      </c>
    </row>
    <row r="19" spans="1:13" ht="16.5" customHeight="1">
      <c r="A19" s="15"/>
      <c r="B19" s="15"/>
      <c r="C19" s="15"/>
      <c r="D19" s="15" t="s">
        <v>271</v>
      </c>
      <c r="E19" s="13">
        <v>20</v>
      </c>
      <c r="F19" s="21"/>
      <c r="G19" s="14">
        <v>686313</v>
      </c>
      <c r="H19" s="22"/>
      <c r="I19" s="14">
        <v>473621</v>
      </c>
      <c r="J19" s="22"/>
      <c r="K19" s="14">
        <v>615433</v>
      </c>
      <c r="L19" s="14"/>
      <c r="M19" s="14">
        <v>410663</v>
      </c>
    </row>
    <row r="20" spans="1:13" ht="16.5" customHeight="1">
      <c r="A20" s="15"/>
      <c r="B20" s="15"/>
      <c r="C20" s="15"/>
      <c r="D20" s="15" t="s">
        <v>277</v>
      </c>
      <c r="E20" s="13">
        <v>15.1</v>
      </c>
      <c r="F20" s="21"/>
      <c r="G20" s="205">
        <v>0</v>
      </c>
      <c r="I20" s="18">
        <v>13725226.189999999</v>
      </c>
      <c r="K20" s="14">
        <v>0</v>
      </c>
      <c r="M20" s="14">
        <v>13725226.189999999</v>
      </c>
    </row>
    <row r="21" spans="1:13" ht="16.5" customHeight="1">
      <c r="A21" s="15"/>
      <c r="B21" s="15"/>
      <c r="C21" s="15"/>
      <c r="D21" s="15" t="s">
        <v>272</v>
      </c>
      <c r="E21" s="13">
        <v>15.1</v>
      </c>
      <c r="F21" s="21"/>
      <c r="G21" s="22">
        <v>-3298818.08</v>
      </c>
      <c r="H21" s="22"/>
      <c r="I21" s="22">
        <v>-15590582.970000001</v>
      </c>
      <c r="J21" s="22"/>
      <c r="K21" s="18">
        <v>-1121442.1399999999</v>
      </c>
      <c r="L21" s="22"/>
      <c r="M21" s="18">
        <v>-15119471.710000001</v>
      </c>
    </row>
    <row r="22" spans="1:13" ht="16.5" customHeight="1">
      <c r="A22" s="15"/>
      <c r="B22" s="15"/>
      <c r="C22" s="15"/>
      <c r="D22" s="15" t="s">
        <v>213</v>
      </c>
      <c r="E22" s="21"/>
      <c r="F22" s="21"/>
      <c r="G22" s="169">
        <v>2236143.2200000002</v>
      </c>
      <c r="H22" s="14"/>
      <c r="I22" s="169">
        <v>2558732.86</v>
      </c>
      <c r="J22" s="14"/>
      <c r="K22" s="169">
        <v>2421074.73</v>
      </c>
      <c r="L22" s="14"/>
      <c r="M22" s="169">
        <v>2758458.89</v>
      </c>
    </row>
    <row r="23" spans="1:13" ht="16.5" customHeight="1">
      <c r="A23" s="15"/>
      <c r="B23" s="15" t="s">
        <v>245</v>
      </c>
      <c r="C23" s="15"/>
      <c r="D23" s="15"/>
      <c r="E23" s="21"/>
      <c r="F23" s="21"/>
      <c r="G23" s="14">
        <f>+SUM(G10:G22)</f>
        <v>-32671870.80999998</v>
      </c>
      <c r="H23" s="22"/>
      <c r="I23" s="14">
        <f>+SUM(I10:I22)</f>
        <v>-15965824.859999996</v>
      </c>
      <c r="J23" s="22"/>
      <c r="K23" s="14">
        <f>+SUM(K10:K22)</f>
        <v>-16297894.589999996</v>
      </c>
      <c r="L23" s="22"/>
      <c r="M23" s="14">
        <f>+SUM(M10:M22)</f>
        <v>4643635.7399999984</v>
      </c>
    </row>
    <row r="24" spans="1:13" ht="16.5" customHeight="1">
      <c r="A24" s="15"/>
      <c r="B24" s="25" t="s">
        <v>184</v>
      </c>
      <c r="C24" s="15"/>
      <c r="D24" s="15"/>
      <c r="E24" s="21"/>
      <c r="F24" s="21"/>
      <c r="G24" s="14"/>
      <c r="H24" s="22"/>
      <c r="I24" s="14"/>
      <c r="J24" s="22"/>
      <c r="K24" s="14"/>
      <c r="L24" s="22"/>
      <c r="M24" s="14"/>
    </row>
    <row r="25" spans="1:13" ht="16.5" customHeight="1">
      <c r="A25" s="15"/>
      <c r="B25" s="15"/>
      <c r="C25" s="132" t="s">
        <v>318</v>
      </c>
      <c r="D25" s="15"/>
      <c r="E25" s="30">
        <v>8.3000000000000007</v>
      </c>
      <c r="F25" s="21"/>
      <c r="G25" s="14">
        <v>15647027.16</v>
      </c>
      <c r="H25" s="14"/>
      <c r="I25" s="14">
        <v>141236450.96000001</v>
      </c>
      <c r="J25" s="14"/>
      <c r="K25" s="14">
        <v>-22926523.780000001</v>
      </c>
      <c r="L25" s="14"/>
      <c r="M25" s="14">
        <v>104113198</v>
      </c>
    </row>
    <row r="26" spans="1:13" ht="16.5" customHeight="1">
      <c r="A26" s="15"/>
      <c r="B26" s="15"/>
      <c r="C26" s="15" t="s">
        <v>237</v>
      </c>
      <c r="D26" s="15"/>
      <c r="E26" s="21">
        <v>4</v>
      </c>
      <c r="F26" s="21"/>
      <c r="G26" s="14">
        <v>44083416.93</v>
      </c>
      <c r="H26" s="14"/>
      <c r="I26" s="14">
        <v>-1148587.17</v>
      </c>
      <c r="J26" s="14"/>
      <c r="K26" s="14">
        <v>20000000</v>
      </c>
      <c r="L26" s="14"/>
      <c r="M26" s="14">
        <v>2037814.74</v>
      </c>
    </row>
    <row r="27" spans="1:13" ht="16.5" customHeight="1">
      <c r="A27" s="15"/>
      <c r="B27" s="15"/>
      <c r="C27" s="15" t="s">
        <v>236</v>
      </c>
      <c r="D27" s="15"/>
      <c r="E27" s="30">
        <v>2.2000000000000002</v>
      </c>
      <c r="F27" s="21"/>
      <c r="G27" s="14">
        <v>-73981.11</v>
      </c>
      <c r="H27" s="14"/>
      <c r="I27" s="14">
        <v>-512062.07</v>
      </c>
      <c r="J27" s="14"/>
      <c r="K27" s="14">
        <v>5801018.8899999997</v>
      </c>
      <c r="L27" s="14"/>
      <c r="M27" s="14">
        <v>2500000</v>
      </c>
    </row>
    <row r="28" spans="1:13" ht="16.5" customHeight="1">
      <c r="A28" s="15"/>
      <c r="B28" s="15"/>
      <c r="C28" s="15" t="s">
        <v>254</v>
      </c>
      <c r="D28" s="15"/>
      <c r="E28" s="21">
        <v>5</v>
      </c>
      <c r="F28" s="21"/>
      <c r="G28" s="14">
        <v>-30597998.629999999</v>
      </c>
      <c r="H28" s="14"/>
      <c r="I28" s="14">
        <v>-22386976.649999999</v>
      </c>
      <c r="J28" s="14"/>
      <c r="K28" s="14">
        <v>-5366358.1100000003</v>
      </c>
      <c r="L28" s="14"/>
      <c r="M28" s="14">
        <v>7986751.6399999997</v>
      </c>
    </row>
    <row r="29" spans="1:13" ht="16.5" customHeight="1">
      <c r="A29" s="15"/>
      <c r="B29" s="15"/>
      <c r="C29" s="15" t="s">
        <v>253</v>
      </c>
      <c r="D29" s="15"/>
      <c r="E29" s="30">
        <v>2.2999999999999998</v>
      </c>
      <c r="F29" s="21"/>
      <c r="G29" s="14">
        <v>0</v>
      </c>
      <c r="H29" s="14"/>
      <c r="I29" s="14">
        <v>0</v>
      </c>
      <c r="J29" s="14"/>
      <c r="K29" s="14">
        <v>-7145579.4000000004</v>
      </c>
      <c r="L29" s="14"/>
      <c r="M29" s="14">
        <v>-11484455.1</v>
      </c>
    </row>
    <row r="30" spans="1:13" ht="16.5" customHeight="1">
      <c r="A30" s="15"/>
      <c r="B30" s="15"/>
      <c r="C30" s="15" t="s">
        <v>187</v>
      </c>
      <c r="D30" s="15"/>
      <c r="E30" s="21"/>
      <c r="F30" s="21"/>
      <c r="G30" s="14">
        <v>1776263.12</v>
      </c>
      <c r="H30" s="14"/>
      <c r="I30" s="14">
        <v>741948.82</v>
      </c>
      <c r="J30" s="14"/>
      <c r="K30" s="14">
        <v>1777478.14</v>
      </c>
      <c r="L30" s="14"/>
      <c r="M30" s="14">
        <v>-428452.01</v>
      </c>
    </row>
    <row r="31" spans="1:13" ht="16.5" customHeight="1">
      <c r="A31" s="15"/>
      <c r="B31" s="15"/>
      <c r="C31" s="15" t="s">
        <v>140</v>
      </c>
      <c r="D31" s="15"/>
      <c r="E31" s="21"/>
      <c r="F31" s="21"/>
      <c r="G31" s="14">
        <v>280373.82</v>
      </c>
      <c r="H31" s="14"/>
      <c r="I31" s="14">
        <v>144000</v>
      </c>
      <c r="J31" s="14"/>
      <c r="K31" s="14">
        <v>0</v>
      </c>
      <c r="L31" s="14"/>
      <c r="M31" s="14">
        <v>0</v>
      </c>
    </row>
    <row r="32" spans="1:13" ht="16.5" customHeight="1">
      <c r="A32" s="15"/>
      <c r="B32" s="15" t="s">
        <v>188</v>
      </c>
      <c r="C32" s="15"/>
      <c r="D32" s="15"/>
      <c r="E32" s="21"/>
      <c r="F32" s="21"/>
      <c r="G32" s="14"/>
      <c r="H32" s="14"/>
      <c r="I32" s="14"/>
      <c r="J32" s="14"/>
      <c r="K32" s="14"/>
      <c r="L32" s="14"/>
      <c r="M32" s="14"/>
    </row>
    <row r="33" spans="1:13" ht="16.5" customHeight="1">
      <c r="A33" s="15"/>
      <c r="B33" s="15"/>
      <c r="C33" s="15" t="s">
        <v>238</v>
      </c>
      <c r="D33" s="15"/>
      <c r="E33" s="21">
        <v>17</v>
      </c>
      <c r="F33" s="21"/>
      <c r="G33" s="14">
        <v>-7241.5</v>
      </c>
      <c r="H33" s="14"/>
      <c r="I33" s="14">
        <v>-2118.2600000000002</v>
      </c>
      <c r="J33" s="14"/>
      <c r="K33" s="14">
        <v>0</v>
      </c>
      <c r="L33" s="14"/>
      <c r="M33" s="14">
        <v>0</v>
      </c>
    </row>
    <row r="34" spans="1:13" ht="16.5" customHeight="1">
      <c r="A34" s="15"/>
      <c r="B34" s="15"/>
      <c r="C34" s="15" t="s">
        <v>256</v>
      </c>
      <c r="D34" s="15"/>
      <c r="E34" s="21">
        <v>18</v>
      </c>
      <c r="F34" s="21"/>
      <c r="G34" s="14">
        <v>-11051295.43</v>
      </c>
      <c r="H34" s="14"/>
      <c r="I34" s="14">
        <v>-21618086.699999999</v>
      </c>
      <c r="J34" s="14"/>
      <c r="K34" s="14">
        <v>-4145978.91</v>
      </c>
      <c r="L34" s="14"/>
      <c r="M34" s="14">
        <v>-20008742.300000001</v>
      </c>
    </row>
    <row r="35" spans="1:13" ht="16.5" customHeight="1">
      <c r="A35" s="15"/>
      <c r="B35" s="15"/>
      <c r="C35" s="15" t="s">
        <v>342</v>
      </c>
      <c r="D35" s="15"/>
      <c r="E35" s="21"/>
      <c r="F35" s="21"/>
      <c r="G35" s="14">
        <v>0</v>
      </c>
      <c r="H35" s="14"/>
      <c r="I35" s="14">
        <v>0</v>
      </c>
      <c r="J35" s="14"/>
      <c r="K35" s="14">
        <v>-6591361.0499999998</v>
      </c>
      <c r="L35" s="14"/>
      <c r="M35" s="14">
        <v>0</v>
      </c>
    </row>
    <row r="36" spans="1:13" ht="16.5" customHeight="1">
      <c r="A36" s="15"/>
      <c r="B36" s="15"/>
      <c r="C36" s="15" t="s">
        <v>148</v>
      </c>
      <c r="D36" s="15"/>
      <c r="E36" s="21"/>
      <c r="F36" s="21"/>
      <c r="G36" s="14">
        <v>1324662.69</v>
      </c>
      <c r="H36" s="14"/>
      <c r="I36" s="14">
        <v>8503572.4000000004</v>
      </c>
      <c r="J36" s="14"/>
      <c r="K36" s="14">
        <v>855724.15</v>
      </c>
      <c r="L36" s="14"/>
      <c r="M36" s="14">
        <v>7872342.4800000004</v>
      </c>
    </row>
    <row r="37" spans="1:13" ht="16.5" customHeight="1">
      <c r="A37" s="15"/>
      <c r="B37" s="15"/>
      <c r="C37" s="15" t="s">
        <v>294</v>
      </c>
      <c r="D37" s="15"/>
      <c r="E37" s="21"/>
      <c r="F37" s="21"/>
      <c r="G37" s="14">
        <v>487899.88</v>
      </c>
      <c r="H37" s="14"/>
      <c r="I37" s="14">
        <v>-4732143</v>
      </c>
      <c r="J37" s="14"/>
      <c r="K37" s="14">
        <v>417019.88</v>
      </c>
      <c r="L37" s="14"/>
      <c r="M37" s="14">
        <v>-5082954</v>
      </c>
    </row>
    <row r="38" spans="1:13" ht="16.5" customHeight="1">
      <c r="A38" s="15"/>
      <c r="B38" s="15"/>
      <c r="C38" s="15"/>
      <c r="D38" s="15" t="s">
        <v>257</v>
      </c>
      <c r="E38" s="21"/>
      <c r="F38" s="21"/>
      <c r="G38" s="171">
        <f>SUM(G23:G37)</f>
        <v>-10802743.879999978</v>
      </c>
      <c r="H38" s="22"/>
      <c r="I38" s="171">
        <f>SUM(I23:I37)</f>
        <v>84260173.469999999</v>
      </c>
      <c r="J38" s="22"/>
      <c r="K38" s="171">
        <f>SUM(K23:K37)</f>
        <v>-33622454.779999994</v>
      </c>
      <c r="L38" s="22"/>
      <c r="M38" s="171">
        <f>SUM(M23:M37)</f>
        <v>92149139.189999998</v>
      </c>
    </row>
    <row r="39" spans="1:13" ht="16.5" customHeight="1">
      <c r="A39" s="15"/>
      <c r="B39" s="15"/>
      <c r="C39" s="15"/>
      <c r="D39" s="15" t="s">
        <v>239</v>
      </c>
      <c r="E39" s="21"/>
      <c r="F39" s="21"/>
      <c r="G39" s="22">
        <v>-2236143.2200000002</v>
      </c>
      <c r="H39" s="22"/>
      <c r="I39" s="22">
        <v>-2558732.86</v>
      </c>
      <c r="J39" s="22"/>
      <c r="K39" s="22">
        <v>-2421074.73</v>
      </c>
      <c r="L39" s="22"/>
      <c r="M39" s="22">
        <v>-2758458.89</v>
      </c>
    </row>
    <row r="40" spans="1:13" ht="16.5" customHeight="1">
      <c r="A40" s="15"/>
      <c r="B40" s="15"/>
      <c r="C40" s="15"/>
      <c r="D40" s="15" t="s">
        <v>204</v>
      </c>
      <c r="E40" s="21"/>
      <c r="F40" s="21"/>
      <c r="G40" s="22">
        <v>-526119.52</v>
      </c>
      <c r="H40" s="22"/>
      <c r="I40" s="22">
        <v>-210163.39</v>
      </c>
      <c r="J40" s="22"/>
      <c r="K40" s="22">
        <v>-526119.52</v>
      </c>
      <c r="L40" s="22"/>
      <c r="M40" s="22">
        <v>-195479.83</v>
      </c>
    </row>
    <row r="41" spans="1:13" ht="16.5" customHeight="1">
      <c r="A41" s="15"/>
      <c r="B41" s="15"/>
      <c r="C41" s="15"/>
      <c r="D41" s="15" t="s">
        <v>200</v>
      </c>
      <c r="E41" s="21"/>
      <c r="F41" s="21"/>
      <c r="G41" s="172">
        <f>SUM(G38:G40)</f>
        <v>-13565006.619999979</v>
      </c>
      <c r="H41" s="22"/>
      <c r="I41" s="172">
        <f>SUM(I38:I40)</f>
        <v>81491277.219999999</v>
      </c>
      <c r="J41" s="22"/>
      <c r="K41" s="172">
        <f>SUM(K38:K40)</f>
        <v>-36569649.029999994</v>
      </c>
      <c r="L41" s="22"/>
      <c r="M41" s="172">
        <f>SUM(M38:M40)</f>
        <v>89195200.469999999</v>
      </c>
    </row>
    <row r="42" spans="1:13" ht="16.5" customHeight="1">
      <c r="A42" s="15"/>
      <c r="B42" s="15"/>
      <c r="C42" s="15"/>
      <c r="D42" s="15"/>
      <c r="E42" s="21"/>
      <c r="F42" s="21"/>
      <c r="G42" s="135"/>
      <c r="H42" s="135"/>
      <c r="I42" s="135"/>
      <c r="J42" s="135"/>
      <c r="K42" s="135"/>
      <c r="L42" s="135"/>
      <c r="M42" s="135"/>
    </row>
    <row r="43" spans="1:13" ht="16.5" customHeight="1">
      <c r="A43" s="15" t="str">
        <f>+'BS_Q1-66'!A43</f>
        <v>The accompanying interim notes to financial statements are an integral part of these interim financial statements.</v>
      </c>
      <c r="B43" s="15"/>
      <c r="C43" s="15"/>
      <c r="D43" s="15"/>
      <c r="E43" s="21"/>
      <c r="F43" s="21"/>
      <c r="G43" s="135"/>
      <c r="H43" s="135"/>
      <c r="I43" s="135"/>
      <c r="J43" s="135"/>
      <c r="K43" s="135"/>
      <c r="L43" s="135"/>
      <c r="M43" s="135"/>
    </row>
    <row r="44" spans="1:13" ht="16.5" customHeight="1">
      <c r="A44" s="15"/>
      <c r="B44" s="15"/>
      <c r="C44" s="15"/>
      <c r="D44" s="15"/>
      <c r="E44" s="21"/>
      <c r="F44" s="21"/>
      <c r="G44" s="135"/>
      <c r="H44" s="135"/>
      <c r="I44" s="135"/>
      <c r="J44" s="135"/>
      <c r="K44" s="135"/>
      <c r="L44" s="135"/>
      <c r="M44" s="135"/>
    </row>
    <row r="45" spans="1:13" ht="16.5" customHeight="1">
      <c r="A45" s="141"/>
      <c r="G45" s="136"/>
      <c r="H45" s="136"/>
      <c r="I45" s="136"/>
      <c r="J45" s="136"/>
      <c r="L45" s="136"/>
      <c r="M45" s="136"/>
    </row>
    <row r="46" spans="1:13" ht="16.5" customHeight="1">
      <c r="A46" s="141"/>
      <c r="G46" s="136"/>
      <c r="H46" s="136"/>
      <c r="I46" s="136"/>
      <c r="J46" s="136"/>
      <c r="L46" s="136"/>
      <c r="M46" s="136"/>
    </row>
    <row r="47" spans="1:13" ht="16.5" customHeight="1">
      <c r="A47" s="13"/>
      <c r="B47" s="25" t="s">
        <v>145</v>
      </c>
      <c r="C47" s="13"/>
      <c r="D47" s="25"/>
      <c r="F47" s="25" t="s">
        <v>145</v>
      </c>
      <c r="G47" s="155"/>
      <c r="H47" s="155"/>
      <c r="I47" s="155"/>
      <c r="J47" s="155"/>
      <c r="K47" s="155"/>
      <c r="L47" s="155"/>
      <c r="M47" s="155"/>
    </row>
    <row r="48" spans="1:13" ht="16.5" customHeight="1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</row>
    <row r="49" spans="1:13" ht="16.5" customHeight="1">
      <c r="A49" s="18" t="s">
        <v>185</v>
      </c>
      <c r="B49" s="15"/>
      <c r="C49" s="15"/>
      <c r="D49" s="15"/>
      <c r="E49" s="21"/>
      <c r="F49" s="21"/>
      <c r="G49" s="14"/>
      <c r="H49" s="22"/>
      <c r="I49" s="14"/>
      <c r="J49" s="22"/>
      <c r="K49" s="14"/>
      <c r="L49" s="22"/>
      <c r="M49" s="14"/>
    </row>
    <row r="50" spans="1:13" ht="16.5" customHeight="1">
      <c r="A50" s="194"/>
      <c r="C50" s="15" t="s">
        <v>328</v>
      </c>
      <c r="D50" s="15"/>
      <c r="E50" s="21">
        <v>10</v>
      </c>
      <c r="F50" s="21"/>
      <c r="G50" s="14">
        <v>7.79</v>
      </c>
      <c r="H50" s="14"/>
      <c r="I50" s="14">
        <v>1.84</v>
      </c>
      <c r="J50" s="14"/>
      <c r="K50" s="14">
        <v>0</v>
      </c>
      <c r="L50" s="14"/>
      <c r="M50" s="14">
        <v>0</v>
      </c>
    </row>
    <row r="51" spans="1:13" s="15" customFormat="1" ht="16.5" customHeight="1">
      <c r="C51" s="18" t="s">
        <v>329</v>
      </c>
      <c r="E51" s="153" t="s">
        <v>326</v>
      </c>
      <c r="F51" s="21"/>
      <c r="G51" s="14">
        <v>-8407.48</v>
      </c>
      <c r="H51" s="14"/>
      <c r="I51" s="14">
        <v>-992707.01</v>
      </c>
      <c r="J51" s="14"/>
      <c r="K51" s="14">
        <v>-8407.48</v>
      </c>
      <c r="L51" s="14"/>
      <c r="M51" s="14">
        <v>-1156457.3</v>
      </c>
    </row>
    <row r="52" spans="1:13" s="15" customFormat="1" ht="16.5" customHeight="1">
      <c r="C52" s="9" t="s">
        <v>262</v>
      </c>
      <c r="E52" s="153" t="s">
        <v>364</v>
      </c>
      <c r="F52" s="21"/>
      <c r="G52" s="14">
        <v>-70000000</v>
      </c>
      <c r="H52" s="14"/>
      <c r="I52" s="14">
        <v>-16240000</v>
      </c>
      <c r="J52" s="14"/>
      <c r="K52" s="14">
        <v>-70000000</v>
      </c>
      <c r="L52" s="14"/>
      <c r="M52" s="14">
        <v>-16240000</v>
      </c>
    </row>
    <row r="53" spans="1:13" s="15" customFormat="1" ht="16.5" customHeight="1">
      <c r="C53" s="9" t="s">
        <v>263</v>
      </c>
      <c r="E53" s="153" t="s">
        <v>334</v>
      </c>
      <c r="F53" s="21"/>
      <c r="G53" s="14">
        <v>0</v>
      </c>
      <c r="H53" s="14"/>
      <c r="I53" s="14">
        <v>0</v>
      </c>
      <c r="J53" s="14"/>
      <c r="K53" s="14">
        <v>21364080.800000001</v>
      </c>
      <c r="L53" s="14"/>
      <c r="M53" s="14">
        <v>-208006894.40000001</v>
      </c>
    </row>
    <row r="54" spans="1:13" ht="16.5" customHeight="1">
      <c r="A54" s="15"/>
      <c r="C54" s="18" t="s">
        <v>310</v>
      </c>
      <c r="D54" s="15"/>
      <c r="F54" s="21"/>
      <c r="G54" s="14">
        <v>0</v>
      </c>
      <c r="H54" s="14"/>
      <c r="I54" s="14">
        <v>1014277.2</v>
      </c>
      <c r="J54" s="14"/>
      <c r="K54" s="14">
        <v>0</v>
      </c>
      <c r="L54" s="14"/>
      <c r="M54" s="14">
        <v>1014277.2</v>
      </c>
    </row>
    <row r="55" spans="1:13" ht="16.5" customHeight="1">
      <c r="A55" s="15"/>
      <c r="B55" s="15"/>
      <c r="C55" s="15"/>
      <c r="D55" s="18" t="s">
        <v>283</v>
      </c>
      <c r="E55" s="21"/>
      <c r="F55" s="21"/>
      <c r="G55" s="172">
        <f>SUM(G50:G54)</f>
        <v>-70008399.689999998</v>
      </c>
      <c r="H55" s="22"/>
      <c r="I55" s="172">
        <f>SUM(I50:I54)</f>
        <v>-16218427.970000003</v>
      </c>
      <c r="J55" s="22"/>
      <c r="K55" s="172">
        <f>SUM(K50:K54)</f>
        <v>-48644326.680000007</v>
      </c>
      <c r="L55" s="22"/>
      <c r="M55" s="172">
        <f>SUM(M50:M54)</f>
        <v>-224389074.50000003</v>
      </c>
    </row>
    <row r="56" spans="1:13" ht="16.5" customHeight="1">
      <c r="A56" s="18" t="s">
        <v>195</v>
      </c>
      <c r="B56" s="15"/>
      <c r="C56" s="15"/>
      <c r="D56" s="15"/>
      <c r="E56" s="81"/>
      <c r="F56" s="21"/>
      <c r="G56" s="167"/>
      <c r="H56" s="167"/>
      <c r="I56" s="167"/>
      <c r="J56" s="167"/>
      <c r="K56" s="167"/>
      <c r="L56" s="167"/>
      <c r="M56" s="167"/>
    </row>
    <row r="57" spans="1:13" ht="16.5" customHeight="1">
      <c r="A57" s="195"/>
      <c r="B57" s="15"/>
      <c r="C57" s="15" t="s">
        <v>304</v>
      </c>
      <c r="D57" s="15"/>
      <c r="E57" s="6">
        <v>16</v>
      </c>
      <c r="F57" s="21"/>
      <c r="G57" s="167">
        <v>60000000</v>
      </c>
      <c r="H57" s="167"/>
      <c r="I57" s="167">
        <v>75000000</v>
      </c>
      <c r="J57" s="167"/>
      <c r="K57" s="167">
        <v>60000000</v>
      </c>
      <c r="L57" s="167"/>
      <c r="M57" s="167">
        <v>75000000</v>
      </c>
    </row>
    <row r="58" spans="1:13" ht="16.5" customHeight="1">
      <c r="A58" s="195"/>
      <c r="B58" s="15"/>
      <c r="C58" s="9" t="s">
        <v>285</v>
      </c>
      <c r="D58" s="15"/>
      <c r="E58" s="6">
        <v>21</v>
      </c>
      <c r="F58" s="21"/>
      <c r="G58" s="167">
        <v>0</v>
      </c>
      <c r="H58" s="167"/>
      <c r="I58" s="167">
        <v>29008465.079999998</v>
      </c>
      <c r="J58" s="167"/>
      <c r="K58" s="167">
        <v>0</v>
      </c>
      <c r="L58" s="167"/>
      <c r="M58" s="167">
        <v>29008465.079999998</v>
      </c>
    </row>
    <row r="59" spans="1:13" ht="16.5" customHeight="1">
      <c r="A59" s="15"/>
      <c r="B59" s="15"/>
      <c r="C59" s="9" t="s">
        <v>311</v>
      </c>
      <c r="E59" s="21">
        <v>22</v>
      </c>
      <c r="F59" s="21"/>
      <c r="G59" s="169">
        <v>0</v>
      </c>
      <c r="H59" s="22"/>
      <c r="I59" s="169">
        <v>-28877596.59</v>
      </c>
      <c r="J59" s="22"/>
      <c r="K59" s="169">
        <v>0</v>
      </c>
      <c r="L59" s="22"/>
      <c r="M59" s="169">
        <v>-28877596.59</v>
      </c>
    </row>
    <row r="60" spans="1:13" ht="16.5" hidden="1" customHeight="1">
      <c r="A60" s="15"/>
      <c r="B60" s="15"/>
      <c r="C60" s="9" t="s">
        <v>274</v>
      </c>
      <c r="E60" s="13">
        <v>24</v>
      </c>
      <c r="F60" s="21"/>
      <c r="G60" s="22"/>
      <c r="H60" s="22"/>
      <c r="I60" s="22">
        <v>0</v>
      </c>
      <c r="J60" s="22"/>
      <c r="K60" s="22"/>
      <c r="L60" s="22"/>
      <c r="M60" s="22">
        <v>0</v>
      </c>
    </row>
    <row r="61" spans="1:13" ht="16.5" hidden="1" customHeight="1">
      <c r="A61" s="15"/>
      <c r="B61" s="15"/>
      <c r="C61" s="9" t="s">
        <v>343</v>
      </c>
      <c r="F61" s="21"/>
      <c r="G61" s="169"/>
      <c r="H61" s="22"/>
      <c r="I61" s="169">
        <v>0</v>
      </c>
      <c r="J61" s="22"/>
      <c r="K61" s="169"/>
      <c r="L61" s="22"/>
      <c r="M61" s="169">
        <v>0</v>
      </c>
    </row>
    <row r="62" spans="1:13" ht="16.5" customHeight="1">
      <c r="A62" s="15"/>
      <c r="B62" s="15"/>
      <c r="C62" s="15"/>
      <c r="D62" s="18" t="s">
        <v>199</v>
      </c>
      <c r="E62" s="21"/>
      <c r="F62" s="21"/>
      <c r="G62" s="169">
        <f>SUM(G57:G61)</f>
        <v>60000000</v>
      </c>
      <c r="H62" s="22"/>
      <c r="I62" s="169">
        <f>SUM(I57:I61)</f>
        <v>75130868.489999995</v>
      </c>
      <c r="J62" s="22"/>
      <c r="K62" s="169">
        <f>SUM(K57:K61)</f>
        <v>60000000</v>
      </c>
      <c r="L62" s="22"/>
      <c r="M62" s="169">
        <f>SUM(M57:M61)</f>
        <v>75130868.489999995</v>
      </c>
    </row>
    <row r="63" spans="1:13" ht="16.5" customHeight="1">
      <c r="A63" s="15" t="s">
        <v>173</v>
      </c>
      <c r="B63" s="15"/>
      <c r="C63" s="15"/>
      <c r="D63" s="15"/>
      <c r="E63" s="21"/>
      <c r="F63" s="21"/>
      <c r="G63" s="169">
        <v>477033.67</v>
      </c>
      <c r="H63" s="22"/>
      <c r="I63" s="169">
        <v>1292036.82</v>
      </c>
      <c r="J63" s="22"/>
      <c r="K63" s="169">
        <v>0</v>
      </c>
      <c r="L63" s="22"/>
      <c r="M63" s="169">
        <v>0</v>
      </c>
    </row>
    <row r="64" spans="1:13" ht="16.5" customHeight="1">
      <c r="A64" s="18" t="s">
        <v>186</v>
      </c>
      <c r="B64" s="15"/>
      <c r="C64" s="15"/>
      <c r="D64" s="15"/>
      <c r="E64" s="21"/>
      <c r="F64" s="21"/>
      <c r="G64" s="173">
        <f>+G62+G55+G41+G63</f>
        <v>-23096372.639999975</v>
      </c>
      <c r="H64" s="14"/>
      <c r="I64" s="173">
        <f>+I62+I55+I41+I63</f>
        <v>141695754.56</v>
      </c>
      <c r="J64" s="14"/>
      <c r="K64" s="173">
        <f>+K62+K55+K41+K63</f>
        <v>-25213975.710000001</v>
      </c>
      <c r="L64" s="14"/>
      <c r="M64" s="173">
        <f>+M62+M55+M41+M63</f>
        <v>-60063005.540000051</v>
      </c>
    </row>
    <row r="65" spans="1:15" ht="16.5" customHeight="1">
      <c r="A65" s="18" t="s">
        <v>374</v>
      </c>
      <c r="B65" s="15"/>
      <c r="C65" s="15"/>
      <c r="D65" s="15"/>
      <c r="E65" s="21"/>
      <c r="F65" s="21"/>
      <c r="G65" s="173">
        <v>193802583.52000001</v>
      </c>
      <c r="H65" s="14"/>
      <c r="I65" s="173">
        <v>341495631.25999999</v>
      </c>
      <c r="J65" s="14"/>
      <c r="K65" s="14">
        <v>58130055.630000003</v>
      </c>
      <c r="L65" s="14"/>
      <c r="M65" s="14">
        <v>144066303.36000001</v>
      </c>
      <c r="O65" s="11"/>
    </row>
    <row r="66" spans="1:15" ht="16.5" customHeight="1" thickBot="1">
      <c r="A66" s="18" t="s">
        <v>375</v>
      </c>
      <c r="B66" s="15"/>
      <c r="C66" s="15"/>
      <c r="D66" s="15"/>
      <c r="E66" s="21"/>
      <c r="F66" s="21"/>
      <c r="G66" s="174">
        <f>SUM(G64:G65)</f>
        <v>170706210.88000003</v>
      </c>
      <c r="H66" s="14"/>
      <c r="I66" s="174">
        <f>SUM(I64:I65)</f>
        <v>483191385.81999999</v>
      </c>
      <c r="J66" s="14"/>
      <c r="K66" s="174">
        <f>SUM(K64:K65)</f>
        <v>32916079.920000002</v>
      </c>
      <c r="L66" s="14"/>
      <c r="M66" s="174">
        <f>SUM(M64:M65)</f>
        <v>84003297.819999963</v>
      </c>
    </row>
    <row r="67" spans="1:15" ht="16.5" customHeight="1" thickTop="1">
      <c r="E67" s="8"/>
      <c r="F67" s="8"/>
      <c r="G67" s="167"/>
      <c r="H67" s="167"/>
      <c r="I67" s="167"/>
      <c r="J67" s="167"/>
      <c r="K67" s="167"/>
      <c r="L67" s="167"/>
      <c r="M67" s="167"/>
    </row>
    <row r="68" spans="1:15" ht="16.5" customHeight="1">
      <c r="A68" s="18" t="s">
        <v>317</v>
      </c>
      <c r="E68" s="153"/>
      <c r="F68" s="8"/>
      <c r="G68" s="134"/>
      <c r="H68" s="134"/>
      <c r="I68" s="134"/>
      <c r="J68" s="134"/>
      <c r="K68" s="134"/>
      <c r="L68" s="134"/>
      <c r="M68" s="134"/>
    </row>
    <row r="69" spans="1:15" ht="16.5" customHeight="1">
      <c r="B69" s="15" t="s">
        <v>360</v>
      </c>
      <c r="E69" s="153"/>
      <c r="F69" s="8"/>
      <c r="G69" s="14">
        <v>0</v>
      </c>
      <c r="H69" s="14"/>
      <c r="I69" s="14">
        <v>64953028</v>
      </c>
      <c r="J69" s="14"/>
      <c r="K69" s="14">
        <v>0</v>
      </c>
      <c r="L69" s="14"/>
      <c r="M69" s="14">
        <v>0</v>
      </c>
    </row>
    <row r="70" spans="1:15" ht="16.5" customHeight="1">
      <c r="B70" s="15" t="s">
        <v>361</v>
      </c>
      <c r="E70" s="153"/>
      <c r="F70" s="8"/>
      <c r="G70" s="14">
        <v>0</v>
      </c>
      <c r="H70" s="14"/>
      <c r="I70" s="14">
        <v>-64953028</v>
      </c>
      <c r="J70" s="14"/>
      <c r="K70" s="14">
        <v>0</v>
      </c>
      <c r="L70" s="14"/>
      <c r="M70" s="14">
        <v>0</v>
      </c>
    </row>
    <row r="71" spans="1:15" ht="16.5" customHeight="1">
      <c r="B71" s="15" t="s">
        <v>366</v>
      </c>
      <c r="G71" s="18">
        <v>66784.92</v>
      </c>
      <c r="I71" s="205">
        <v>-9479988.4800000004</v>
      </c>
      <c r="J71" s="14"/>
      <c r="K71" s="14">
        <v>-3651.22</v>
      </c>
      <c r="L71" s="14"/>
      <c r="M71" s="14">
        <v>-2988.4</v>
      </c>
    </row>
    <row r="72" spans="1:15" ht="16.5" customHeight="1">
      <c r="B72" s="204" t="s">
        <v>365</v>
      </c>
      <c r="E72" s="153"/>
      <c r="F72" s="8"/>
      <c r="G72" s="14">
        <v>-66784.92</v>
      </c>
      <c r="H72" s="14"/>
      <c r="I72" s="14">
        <v>9479988.4800000004</v>
      </c>
      <c r="J72" s="14"/>
      <c r="K72" s="14">
        <v>3651.22</v>
      </c>
      <c r="L72" s="14"/>
      <c r="M72" s="14">
        <v>2988.4</v>
      </c>
    </row>
    <row r="73" spans="1:15" ht="16.5" customHeight="1">
      <c r="B73" s="204"/>
      <c r="E73" s="153"/>
      <c r="F73" s="8"/>
      <c r="G73" s="14"/>
      <c r="H73" s="14"/>
      <c r="I73" s="14"/>
      <c r="J73" s="14"/>
      <c r="K73" s="14"/>
      <c r="L73" s="14"/>
      <c r="M73" s="14"/>
    </row>
    <row r="74" spans="1:15" ht="16.5" customHeight="1">
      <c r="B74" s="204"/>
      <c r="E74" s="153"/>
      <c r="F74" s="8"/>
      <c r="G74" s="14"/>
      <c r="H74" s="14"/>
      <c r="I74" s="14"/>
      <c r="J74" s="14"/>
      <c r="K74" s="14"/>
      <c r="L74" s="14"/>
      <c r="M74" s="14"/>
    </row>
    <row r="75" spans="1:15" ht="16.5" customHeight="1">
      <c r="B75" s="204"/>
      <c r="E75" s="153"/>
      <c r="F75" s="8"/>
      <c r="G75" s="14"/>
      <c r="H75" s="14"/>
      <c r="I75" s="14"/>
      <c r="J75" s="14"/>
      <c r="K75" s="14"/>
      <c r="L75" s="14"/>
      <c r="M75" s="14"/>
    </row>
    <row r="76" spans="1:15" ht="16.5" customHeight="1">
      <c r="B76" s="204"/>
      <c r="E76" s="153"/>
      <c r="F76" s="8"/>
      <c r="G76" s="14"/>
      <c r="H76" s="14"/>
      <c r="I76" s="14"/>
      <c r="J76" s="14"/>
      <c r="K76" s="14"/>
      <c r="L76" s="14"/>
      <c r="M76" s="14"/>
    </row>
    <row r="77" spans="1:15" ht="16.5" customHeight="1">
      <c r="B77" s="204"/>
      <c r="E77" s="153"/>
      <c r="F77" s="8"/>
      <c r="G77" s="14"/>
      <c r="H77" s="14"/>
      <c r="I77" s="14"/>
      <c r="J77" s="14"/>
      <c r="K77" s="14"/>
      <c r="L77" s="14"/>
      <c r="M77" s="14"/>
    </row>
    <row r="78" spans="1:15" ht="16.5" customHeight="1">
      <c r="B78" s="204"/>
      <c r="E78" s="153"/>
      <c r="F78" s="8"/>
      <c r="G78" s="14"/>
      <c r="H78" s="14"/>
      <c r="I78" s="14"/>
      <c r="J78" s="14"/>
      <c r="K78" s="14"/>
      <c r="L78" s="14"/>
      <c r="M78" s="14"/>
    </row>
    <row r="79" spans="1:15" ht="16.5" customHeight="1">
      <c r="B79" s="204"/>
      <c r="E79" s="153"/>
      <c r="F79" s="8"/>
      <c r="G79" s="14"/>
      <c r="H79" s="14"/>
      <c r="I79" s="14"/>
      <c r="J79" s="14"/>
      <c r="K79" s="14"/>
      <c r="L79" s="14"/>
      <c r="M79" s="14"/>
    </row>
    <row r="80" spans="1:15" ht="16.5" customHeight="1">
      <c r="E80" s="153"/>
      <c r="F80" s="8"/>
      <c r="G80" s="134"/>
      <c r="H80" s="134"/>
      <c r="I80" s="134"/>
      <c r="J80" s="134"/>
      <c r="K80" s="134"/>
      <c r="L80" s="134"/>
      <c r="M80" s="134"/>
    </row>
    <row r="81" spans="1:16" ht="16.5" customHeight="1">
      <c r="A81" s="15" t="str">
        <f>+A43</f>
        <v>The accompanying interim notes to financial statements are an integral part of these interim financial statements.</v>
      </c>
      <c r="E81" s="153"/>
      <c r="F81" s="8"/>
      <c r="G81" s="134"/>
      <c r="H81" s="134"/>
      <c r="I81" s="134"/>
      <c r="J81" s="134"/>
      <c r="K81" s="134"/>
      <c r="L81" s="134"/>
      <c r="M81" s="134"/>
    </row>
    <row r="82" spans="1:16" ht="16.5" customHeight="1">
      <c r="F82" s="8"/>
      <c r="G82" s="134"/>
      <c r="H82" s="134"/>
      <c r="I82" s="134"/>
      <c r="J82" s="134"/>
      <c r="K82" s="134"/>
      <c r="L82" s="134"/>
      <c r="M82" s="134"/>
    </row>
    <row r="83" spans="1:16" ht="16.5" customHeight="1">
      <c r="G83" s="136"/>
      <c r="H83" s="136"/>
      <c r="I83" s="136"/>
      <c r="J83" s="136"/>
      <c r="L83" s="136"/>
      <c r="M83" s="136"/>
    </row>
    <row r="84" spans="1:16" ht="16.5" customHeight="1">
      <c r="A84" s="141"/>
      <c r="G84" s="136"/>
      <c r="H84" s="136"/>
      <c r="I84" s="136"/>
      <c r="J84" s="136"/>
      <c r="L84" s="136"/>
      <c r="M84" s="136"/>
    </row>
    <row r="85" spans="1:16" ht="16.5" customHeight="1">
      <c r="A85" s="141"/>
      <c r="G85" s="136"/>
      <c r="H85" s="136"/>
      <c r="I85" s="136"/>
      <c r="J85" s="136"/>
      <c r="L85" s="136"/>
      <c r="M85" s="136"/>
    </row>
    <row r="86" spans="1:16" ht="16.5" customHeight="1">
      <c r="A86" s="137"/>
      <c r="B86" s="25" t="s">
        <v>145</v>
      </c>
      <c r="C86" s="13"/>
      <c r="D86" s="25"/>
      <c r="F86" s="25" t="s">
        <v>145</v>
      </c>
      <c r="G86" s="155"/>
      <c r="H86" s="155"/>
      <c r="I86" s="155"/>
      <c r="J86" s="155"/>
      <c r="K86" s="155"/>
      <c r="L86" s="155"/>
      <c r="M86" s="155"/>
    </row>
    <row r="87" spans="1:16" ht="16.5" customHeight="1">
      <c r="A87" s="9"/>
      <c r="G87" s="136"/>
      <c r="H87" s="136"/>
      <c r="I87" s="136"/>
      <c r="J87" s="136"/>
      <c r="L87" s="136"/>
      <c r="M87" s="136"/>
    </row>
    <row r="88" spans="1:16" s="3" customFormat="1" ht="16.5" customHeight="1">
      <c r="A88" s="240"/>
      <c r="B88" s="240"/>
      <c r="C88" s="240"/>
      <c r="D88" s="240"/>
      <c r="E88" s="240"/>
      <c r="F88" s="240"/>
      <c r="G88" s="240"/>
      <c r="H88" s="240"/>
      <c r="I88" s="240"/>
      <c r="J88" s="240"/>
      <c r="K88" s="240"/>
      <c r="L88" s="240"/>
      <c r="M88" s="240"/>
      <c r="P88" s="7"/>
    </row>
    <row r="89" spans="1:16" ht="16.5" hidden="1" customHeight="1">
      <c r="E89" s="8"/>
      <c r="F89" s="8"/>
      <c r="G89" s="136"/>
      <c r="H89" s="136"/>
      <c r="I89" s="136"/>
      <c r="J89" s="136"/>
      <c r="L89" s="136"/>
      <c r="M89" s="136"/>
    </row>
    <row r="90" spans="1:16" ht="16.5" customHeight="1">
      <c r="D90" s="10" t="s">
        <v>217</v>
      </c>
      <c r="E90" s="8"/>
      <c r="F90" s="8"/>
      <c r="G90" s="134">
        <v>170706210.88</v>
      </c>
      <c r="H90" s="135"/>
      <c r="I90" s="134">
        <v>483191385.81999999</v>
      </c>
      <c r="J90" s="135"/>
      <c r="K90" s="134">
        <v>32916079.920000002</v>
      </c>
      <c r="L90" s="134"/>
      <c r="M90" s="134">
        <v>84003297.819999993</v>
      </c>
    </row>
    <row r="91" spans="1:16" ht="16.5" customHeight="1">
      <c r="D91" s="10" t="s">
        <v>218</v>
      </c>
      <c r="E91" s="8"/>
      <c r="F91" s="8"/>
      <c r="G91" s="134">
        <f>+G90-G66</f>
        <v>0</v>
      </c>
      <c r="H91" s="134"/>
      <c r="I91" s="134">
        <f>+I90-I66</f>
        <v>0</v>
      </c>
      <c r="J91" s="134"/>
      <c r="K91" s="134">
        <f>+K90-K66</f>
        <v>0</v>
      </c>
      <c r="L91" s="134"/>
      <c r="M91" s="134">
        <f>+M90-M66</f>
        <v>0</v>
      </c>
    </row>
    <row r="92" spans="1:16" ht="16.5" customHeight="1">
      <c r="E92" s="8"/>
      <c r="F92" s="8"/>
      <c r="G92" s="136"/>
      <c r="H92" s="136"/>
      <c r="I92" s="136"/>
      <c r="J92" s="136"/>
      <c r="L92" s="136"/>
      <c r="M92" s="136"/>
    </row>
    <row r="93" spans="1:16" ht="16.5" customHeight="1">
      <c r="E93" s="8"/>
      <c r="F93" s="8"/>
      <c r="G93" s="136"/>
      <c r="H93" s="136"/>
      <c r="I93" s="136"/>
      <c r="J93" s="136"/>
      <c r="L93" s="136"/>
      <c r="M93" s="136"/>
    </row>
    <row r="94" spans="1:16" ht="16.5" customHeight="1">
      <c r="E94" s="8"/>
      <c r="F94" s="8"/>
      <c r="G94" s="136"/>
      <c r="H94" s="136"/>
      <c r="I94" s="136"/>
      <c r="J94" s="136"/>
      <c r="L94" s="136"/>
      <c r="M94" s="136"/>
    </row>
    <row r="95" spans="1:16" ht="16.5" customHeight="1">
      <c r="E95" s="8"/>
      <c r="F95" s="8"/>
      <c r="G95" s="136"/>
      <c r="H95" s="136"/>
      <c r="I95" s="136"/>
      <c r="J95" s="136"/>
      <c r="L95" s="136"/>
      <c r="M95" s="136"/>
    </row>
    <row r="96" spans="1:16" ht="16.5" customHeight="1">
      <c r="E96" s="8"/>
      <c r="F96" s="8"/>
      <c r="G96" s="136"/>
      <c r="H96" s="136"/>
      <c r="I96" s="136"/>
      <c r="J96" s="136"/>
      <c r="L96" s="136"/>
      <c r="M96" s="136"/>
    </row>
    <row r="97" spans="5:13" ht="16.5" customHeight="1">
      <c r="E97" s="8"/>
      <c r="F97" s="8"/>
      <c r="G97" s="136"/>
      <c r="H97" s="136"/>
      <c r="I97" s="136"/>
      <c r="J97" s="136"/>
      <c r="L97" s="136"/>
      <c r="M97" s="136"/>
    </row>
    <row r="98" spans="5:13" ht="16.5" customHeight="1">
      <c r="E98" s="8"/>
      <c r="F98" s="8"/>
    </row>
    <row r="99" spans="5:13" ht="16.5" customHeight="1">
      <c r="E99" s="8"/>
      <c r="F99" s="8"/>
    </row>
    <row r="100" spans="5:13" ht="16.5" customHeight="1">
      <c r="E100" s="8"/>
      <c r="F100" s="8"/>
    </row>
    <row r="101" spans="5:13" ht="16.5" customHeight="1">
      <c r="E101" s="8"/>
      <c r="F101" s="8"/>
    </row>
    <row r="102" spans="5:13" ht="16.5" customHeight="1">
      <c r="E102" s="8"/>
      <c r="F102" s="8"/>
    </row>
    <row r="103" spans="5:13" ht="16.5" customHeight="1">
      <c r="E103" s="8"/>
      <c r="F103" s="8"/>
    </row>
    <row r="104" spans="5:13" ht="16.5" customHeight="1">
      <c r="E104" s="8"/>
      <c r="F104" s="8"/>
    </row>
    <row r="105" spans="5:13" ht="16.5" customHeight="1">
      <c r="E105" s="8"/>
      <c r="F105" s="8"/>
    </row>
    <row r="106" spans="5:13" ht="16.5" customHeight="1">
      <c r="E106" s="8"/>
      <c r="F106" s="8"/>
    </row>
    <row r="107" spans="5:13" ht="16.5" customHeight="1">
      <c r="E107" s="8"/>
      <c r="F107" s="8"/>
    </row>
    <row r="108" spans="5:13" ht="16.5" customHeight="1">
      <c r="E108" s="8"/>
      <c r="F108" s="8"/>
    </row>
    <row r="109" spans="5:13" ht="16.5" customHeight="1">
      <c r="E109" s="8"/>
      <c r="F109" s="8"/>
    </row>
    <row r="110" spans="5:13" ht="16.5" customHeight="1">
      <c r="E110" s="8"/>
      <c r="F110" s="8"/>
    </row>
    <row r="111" spans="5:13" ht="16.5" customHeight="1">
      <c r="E111" s="8"/>
      <c r="F111" s="8"/>
    </row>
    <row r="112" spans="5:13" ht="16.5" customHeight="1">
      <c r="E112" s="8"/>
      <c r="F112" s="8"/>
    </row>
    <row r="113" spans="5:6" ht="16.5" customHeight="1">
      <c r="E113" s="8"/>
      <c r="F113" s="8"/>
    </row>
    <row r="114" spans="5:6" ht="16.5" customHeight="1">
      <c r="E114" s="8"/>
      <c r="F114" s="8"/>
    </row>
    <row r="115" spans="5:6" ht="16.5" customHeight="1">
      <c r="E115" s="8"/>
      <c r="F115" s="8"/>
    </row>
    <row r="116" spans="5:6" ht="16.5" customHeight="1">
      <c r="E116" s="8"/>
      <c r="F116" s="8"/>
    </row>
    <row r="117" spans="5:6" ht="16.5" customHeight="1">
      <c r="E117" s="8"/>
      <c r="F117" s="8"/>
    </row>
  </sheetData>
  <mergeCells count="10">
    <mergeCell ref="K1:M1"/>
    <mergeCell ref="A48:M48"/>
    <mergeCell ref="A88:M88"/>
    <mergeCell ref="A2:M2"/>
    <mergeCell ref="G5:M5"/>
    <mergeCell ref="G6:I6"/>
    <mergeCell ref="K6:M6"/>
    <mergeCell ref="A3:M3"/>
    <mergeCell ref="A4:M4"/>
    <mergeCell ref="G7:M7"/>
  </mergeCells>
  <phoneticPr fontId="0" type="noConversion"/>
  <pageMargins left="0.43" right="0" top="0.53" bottom="0.22" header="0.7" footer="0.13"/>
  <pageSetup paperSize="9" scale="93" firstPageNumber="8" orientation="portrait" useFirstPageNumber="1" r:id="rId1"/>
  <headerFooter alignWithMargins="0">
    <oddFooter>&amp;C&amp;P</oddFooter>
  </headerFooter>
  <rowBreaks count="1" manualBreakCount="1">
    <brk id="48" max="12" man="1"/>
  </rowBreaks>
  <ignoredErrors>
    <ignoredError sqref="E55:F55 F54" numberStoredAsText="1"/>
    <ignoredError sqref="H55 L55 J55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09765625" defaultRowHeight="20"/>
  <cols>
    <col min="1" max="1" width="41.09765625" style="89" customWidth="1"/>
    <col min="2" max="2" width="13.3984375" style="105" bestFit="1" customWidth="1"/>
    <col min="3" max="3" width="13.8984375" style="85" bestFit="1" customWidth="1"/>
    <col min="4" max="4" width="14.8984375" style="90" bestFit="1" customWidth="1"/>
    <col min="5" max="6" width="12.69921875" style="85" customWidth="1"/>
    <col min="7" max="7" width="14.8984375" style="85" bestFit="1" customWidth="1"/>
    <col min="8" max="8" width="15.296875" style="88" customWidth="1"/>
    <col min="9" max="10" width="12.69921875" style="85" customWidth="1"/>
    <col min="11" max="11" width="2.296875" style="89" customWidth="1"/>
    <col min="12" max="13" width="12.69921875" style="89" customWidth="1"/>
    <col min="14" max="16384" width="9.09765625" style="89"/>
  </cols>
  <sheetData>
    <row r="1" spans="1:10">
      <c r="A1" s="83" t="s">
        <v>52</v>
      </c>
      <c r="B1" s="84"/>
      <c r="D1" s="86"/>
      <c r="E1" s="87"/>
      <c r="F1" s="87"/>
    </row>
    <row r="2" spans="1:10" ht="21.75" customHeight="1">
      <c r="A2" s="83" t="s">
        <v>89</v>
      </c>
      <c r="B2" s="84"/>
    </row>
    <row r="3" spans="1:10" ht="21.75" customHeight="1">
      <c r="A3" s="91" t="s">
        <v>69</v>
      </c>
      <c r="B3" s="92"/>
      <c r="C3" s="93"/>
      <c r="D3" s="94"/>
      <c r="E3" s="93"/>
      <c r="F3" s="93"/>
      <c r="G3" s="93"/>
      <c r="H3" s="95"/>
      <c r="I3" s="93"/>
      <c r="J3" s="93"/>
    </row>
    <row r="4" spans="1:10" ht="21.75" customHeight="1">
      <c r="A4" s="96"/>
      <c r="B4" s="84"/>
      <c r="H4" s="241" t="s">
        <v>71</v>
      </c>
      <c r="I4" s="241"/>
    </row>
    <row r="5" spans="1:10" s="98" customFormat="1" ht="24" customHeight="1">
      <c r="B5" s="99" t="s">
        <v>63</v>
      </c>
      <c r="C5" s="97" t="s">
        <v>64</v>
      </c>
      <c r="D5" s="92" t="s">
        <v>65</v>
      </c>
      <c r="E5" s="97" t="s">
        <v>67</v>
      </c>
      <c r="F5" s="97" t="s">
        <v>66</v>
      </c>
      <c r="G5" s="97" t="s">
        <v>27</v>
      </c>
      <c r="H5" s="100" t="s">
        <v>72</v>
      </c>
      <c r="I5" s="87" t="s">
        <v>73</v>
      </c>
      <c r="J5" s="93" t="s">
        <v>33</v>
      </c>
    </row>
    <row r="6" spans="1:10" s="98" customFormat="1" ht="24.75" customHeight="1">
      <c r="A6" s="101" t="s">
        <v>90</v>
      </c>
      <c r="B6" s="102"/>
      <c r="C6" s="87"/>
      <c r="D6" s="86"/>
      <c r="E6" s="87"/>
      <c r="F6" s="87"/>
      <c r="G6" s="87"/>
      <c r="H6" s="103"/>
      <c r="I6" s="87"/>
      <c r="J6" s="85"/>
    </row>
    <row r="7" spans="1:10" s="98" customFormat="1" ht="18" customHeight="1">
      <c r="B7" s="102"/>
      <c r="C7" s="87"/>
      <c r="D7" s="86"/>
      <c r="E7" s="104">
        <v>25000</v>
      </c>
      <c r="F7" s="104">
        <v>250000</v>
      </c>
      <c r="G7" s="87"/>
      <c r="H7" s="103"/>
      <c r="I7" s="87"/>
      <c r="J7" s="85"/>
    </row>
    <row r="8" spans="1:10">
      <c r="A8" s="89" t="s">
        <v>98</v>
      </c>
      <c r="B8" s="105">
        <v>4250000</v>
      </c>
      <c r="C8" s="85">
        <v>10000000</v>
      </c>
      <c r="D8" s="90">
        <v>42940000</v>
      </c>
      <c r="E8" s="85">
        <f>+E7*36.48</f>
        <v>911999.99999999988</v>
      </c>
      <c r="F8" s="85">
        <f>+F7*35.32</f>
        <v>8830000</v>
      </c>
    </row>
    <row r="9" spans="1:10">
      <c r="A9" s="89" t="s">
        <v>128</v>
      </c>
      <c r="B9" s="105">
        <v>533031.27</v>
      </c>
      <c r="C9" s="85">
        <v>-11662591.75</v>
      </c>
      <c r="D9" s="90">
        <v>-18618021.34</v>
      </c>
      <c r="E9" s="85">
        <v>0</v>
      </c>
      <c r="F9" s="85">
        <v>0</v>
      </c>
    </row>
    <row r="10" spans="1:10">
      <c r="A10" s="89" t="s">
        <v>91</v>
      </c>
      <c r="B10" s="105">
        <v>99.99</v>
      </c>
      <c r="C10" s="85">
        <v>49.99</v>
      </c>
      <c r="D10" s="90">
        <v>99.99</v>
      </c>
      <c r="E10" s="85">
        <v>100</v>
      </c>
      <c r="F10" s="85">
        <v>51</v>
      </c>
    </row>
    <row r="11" spans="1:10">
      <c r="A11" s="106" t="s">
        <v>92</v>
      </c>
      <c r="B11" s="94">
        <f>+B10*B8/100</f>
        <v>4249575</v>
      </c>
      <c r="C11" s="94">
        <f>+C10*C8/100</f>
        <v>4999000</v>
      </c>
      <c r="D11" s="94">
        <f>+D10*D8/100</f>
        <v>42935706</v>
      </c>
      <c r="E11" s="94">
        <f>+E10*E8/100</f>
        <v>911999.99999999988</v>
      </c>
      <c r="F11" s="94">
        <f>+F10*F8/100</f>
        <v>4503300</v>
      </c>
      <c r="G11" s="93"/>
      <c r="H11" s="107"/>
    </row>
    <row r="12" spans="1:10">
      <c r="A12" s="89" t="s">
        <v>97</v>
      </c>
      <c r="B12" s="108">
        <v>4001000</v>
      </c>
      <c r="C12" s="109">
        <v>1250375</v>
      </c>
      <c r="D12" s="110">
        <f>24321978.66+21431024.34</f>
        <v>45753003</v>
      </c>
      <c r="E12" s="109">
        <v>912000</v>
      </c>
      <c r="F12" s="109">
        <v>4503300</v>
      </c>
      <c r="G12" s="111">
        <f t="shared" ref="G12:G17" si="0">+SUM(B12:F12)</f>
        <v>56419678</v>
      </c>
    </row>
    <row r="13" spans="1:10">
      <c r="A13" s="112" t="s">
        <v>93</v>
      </c>
      <c r="B13" s="113">
        <v>4782963.74</v>
      </c>
      <c r="C13" s="94">
        <v>-1662591.75</v>
      </c>
      <c r="D13" s="94">
        <v>24321978.66</v>
      </c>
      <c r="E13" s="94">
        <v>899000</v>
      </c>
      <c r="F13" s="94">
        <v>4584900</v>
      </c>
      <c r="G13" s="114">
        <f t="shared" si="0"/>
        <v>32926250.649999999</v>
      </c>
      <c r="H13" s="107"/>
    </row>
    <row r="14" spans="1:10">
      <c r="A14" s="115" t="s">
        <v>9</v>
      </c>
      <c r="B14" s="116">
        <f>+B13-B12</f>
        <v>781963.74000000022</v>
      </c>
      <c r="C14" s="116">
        <f>+C13-C12</f>
        <v>-2912966.75</v>
      </c>
      <c r="D14" s="116">
        <f>+D13-D12</f>
        <v>-21431024.34</v>
      </c>
      <c r="E14" s="116">
        <f>+E13-E12</f>
        <v>-13000</v>
      </c>
      <c r="F14" s="116">
        <f>+F13-F12</f>
        <v>81600</v>
      </c>
      <c r="G14" s="114">
        <f t="shared" si="0"/>
        <v>-23493427.350000001</v>
      </c>
      <c r="H14" s="107"/>
    </row>
    <row r="15" spans="1:10" ht="20.5">
      <c r="A15" s="117" t="s">
        <v>94</v>
      </c>
      <c r="B15" s="85">
        <v>9963921.2899999991</v>
      </c>
      <c r="C15" s="85">
        <v>-1090678.93</v>
      </c>
      <c r="D15" s="90">
        <v>-1566605.83</v>
      </c>
      <c r="E15" s="85">
        <v>271135.14</v>
      </c>
      <c r="F15" s="85">
        <v>40003.35</v>
      </c>
      <c r="G15" s="85">
        <f t="shared" si="0"/>
        <v>7617775.0199999986</v>
      </c>
    </row>
    <row r="16" spans="1:10">
      <c r="A16" s="89" t="s">
        <v>95</v>
      </c>
      <c r="B16" s="105">
        <f>+B15*B10/100</f>
        <v>9962924.8978709988</v>
      </c>
      <c r="C16" s="105"/>
      <c r="D16" s="105"/>
      <c r="E16" s="105">
        <f>+E15*E10/100</f>
        <v>271135.14</v>
      </c>
      <c r="F16" s="105">
        <f>+F15*F10/100</f>
        <v>20401.708499999997</v>
      </c>
      <c r="G16" s="85">
        <f t="shared" si="0"/>
        <v>10254461.746370999</v>
      </c>
    </row>
    <row r="17" spans="1:10">
      <c r="A17" s="89" t="s">
        <v>96</v>
      </c>
      <c r="C17" s="105">
        <f>+C15*C10/100</f>
        <v>-545230.397107</v>
      </c>
      <c r="D17" s="105">
        <f>+D15*D10/100</f>
        <v>-1566449.1694170001</v>
      </c>
      <c r="E17" s="105"/>
      <c r="F17" s="105"/>
      <c r="G17" s="85">
        <f t="shared" si="0"/>
        <v>-2111679.5665239999</v>
      </c>
    </row>
    <row r="18" spans="1:10">
      <c r="C18" s="105"/>
      <c r="D18" s="105"/>
      <c r="E18" s="105"/>
      <c r="F18" s="105"/>
    </row>
    <row r="19" spans="1:10">
      <c r="A19" s="89" t="s">
        <v>118</v>
      </c>
      <c r="B19" s="105">
        <f>+B15*(100-B10)/100</f>
        <v>996.39212900050961</v>
      </c>
      <c r="C19" s="105">
        <f>+C15*(100-C10)/100</f>
        <v>-545448.53289299994</v>
      </c>
      <c r="D19" s="105">
        <f>+D15*(100-D10)/100</f>
        <v>-156.66058300008015</v>
      </c>
      <c r="E19" s="105">
        <f>+E15*(100-E10)/100</f>
        <v>0</v>
      </c>
      <c r="F19" s="105">
        <f>+F15*(100-F10)/100</f>
        <v>19601.641499999998</v>
      </c>
      <c r="G19" s="118">
        <f>+SUM(B19:F19)</f>
        <v>-525007.15984699945</v>
      </c>
    </row>
    <row r="20" spans="1:10">
      <c r="C20" s="105"/>
      <c r="D20" s="105"/>
      <c r="E20" s="105"/>
      <c r="F20" s="105"/>
    </row>
    <row r="21" spans="1:10">
      <c r="C21" s="105"/>
      <c r="D21" s="105"/>
      <c r="E21" s="105"/>
      <c r="F21" s="105"/>
    </row>
    <row r="22" spans="1:10">
      <c r="A22" s="112" t="s">
        <v>125</v>
      </c>
      <c r="B22" s="105">
        <f>+B15+B8+B9</f>
        <v>14746952.559999999</v>
      </c>
      <c r="C22" s="105">
        <f>+C15+C8+C9</f>
        <v>-2753270.6799999997</v>
      </c>
      <c r="D22" s="105">
        <f>+D15+D8+D9</f>
        <v>22755372.830000002</v>
      </c>
      <c r="E22" s="105">
        <f>+E15+E8+E9</f>
        <v>1183135.1399999999</v>
      </c>
      <c r="F22" s="105">
        <f>+F15+F8+F9</f>
        <v>8870003.3499999996</v>
      </c>
    </row>
    <row r="23" spans="1:10">
      <c r="A23" s="89" t="s">
        <v>126</v>
      </c>
      <c r="B23" s="105">
        <f>+B22*(100-B10)/100</f>
        <v>1474.6952560007544</v>
      </c>
      <c r="C23" s="105">
        <f>+C22*(100-C10)/100</f>
        <v>-1376910.667068</v>
      </c>
      <c r="D23" s="105">
        <f>+D22*(100-D10)/100</f>
        <v>2275.5372830011643</v>
      </c>
      <c r="E23" s="105">
        <f>+E22*(100-E10)/100</f>
        <v>0</v>
      </c>
      <c r="F23" s="105">
        <f>+F22*(100-F10)/100</f>
        <v>4346301.6414999999</v>
      </c>
      <c r="G23" s="118">
        <f>+SUM(B23:F23)</f>
        <v>2973141.2069710018</v>
      </c>
    </row>
    <row r="24" spans="1:10">
      <c r="A24" s="89" t="s">
        <v>127</v>
      </c>
      <c r="C24" s="105"/>
      <c r="D24" s="105"/>
      <c r="E24" s="105"/>
      <c r="F24" s="105">
        <v>-4274821.25</v>
      </c>
      <c r="G24" s="118">
        <f>+SUM(B24:F24)</f>
        <v>-4274821.25</v>
      </c>
    </row>
    <row r="25" spans="1:10">
      <c r="C25" s="105"/>
      <c r="D25" s="105"/>
      <c r="E25" s="105"/>
      <c r="F25" s="105"/>
      <c r="G25" s="118"/>
    </row>
    <row r="26" spans="1:10">
      <c r="C26" s="105"/>
      <c r="D26" s="105"/>
      <c r="E26" s="105"/>
      <c r="F26" s="105"/>
      <c r="G26" s="118"/>
    </row>
    <row r="27" spans="1:10" ht="20.5" thickBot="1">
      <c r="C27" s="105"/>
      <c r="D27" s="105"/>
      <c r="E27" s="105"/>
      <c r="F27" s="105"/>
      <c r="G27" s="119">
        <f>SUM(G23:G26)</f>
        <v>-1301680.0430289982</v>
      </c>
    </row>
    <row r="28" spans="1:10" ht="20.5" thickTop="1">
      <c r="C28" s="90"/>
    </row>
    <row r="29" spans="1:10" ht="20.5">
      <c r="A29" s="120" t="s">
        <v>34</v>
      </c>
      <c r="B29" s="90"/>
      <c r="G29" s="85">
        <v>-2135652.63</v>
      </c>
    </row>
    <row r="30" spans="1:10">
      <c r="A30" s="89" t="s">
        <v>101</v>
      </c>
      <c r="B30" s="90"/>
      <c r="G30" s="85">
        <f>+G29-G27</f>
        <v>-833972.5869710017</v>
      </c>
    </row>
    <row r="31" spans="1:10">
      <c r="A31" s="89" t="s">
        <v>106</v>
      </c>
      <c r="B31" s="90"/>
      <c r="C31" s="90">
        <f>23544963.08-13000</f>
        <v>23531963.079999998</v>
      </c>
      <c r="E31" s="90"/>
      <c r="F31" s="90"/>
      <c r="G31" s="90"/>
      <c r="H31" s="121"/>
      <c r="I31" s="90"/>
      <c r="J31" s="90"/>
    </row>
    <row r="32" spans="1:10">
      <c r="A32" s="89" t="s">
        <v>107</v>
      </c>
      <c r="B32" s="90"/>
      <c r="D32" s="90">
        <f>+C31</f>
        <v>23531963.079999998</v>
      </c>
      <c r="G32" s="85">
        <v>78400</v>
      </c>
      <c r="H32" s="107"/>
    </row>
    <row r="33" spans="1:8">
      <c r="G33" s="85">
        <v>-615.72</v>
      </c>
    </row>
    <row r="34" spans="1:8">
      <c r="G34" s="85">
        <v>781963.74</v>
      </c>
    </row>
    <row r="35" spans="1:8">
      <c r="A35" s="89" t="s">
        <v>102</v>
      </c>
      <c r="G35" s="85">
        <f>SUM(G32:G34)</f>
        <v>859748.02</v>
      </c>
    </row>
    <row r="36" spans="1:8">
      <c r="A36" s="89" t="s">
        <v>104</v>
      </c>
      <c r="C36" s="85">
        <v>22681399.34</v>
      </c>
    </row>
    <row r="37" spans="1:8">
      <c r="A37" s="89" t="s">
        <v>105</v>
      </c>
      <c r="D37" s="90">
        <f>+C36</f>
        <v>22681399.34</v>
      </c>
    </row>
    <row r="39" spans="1:8">
      <c r="A39" s="89" t="s">
        <v>120</v>
      </c>
    </row>
    <row r="40" spans="1:8">
      <c r="A40" s="89" t="s">
        <v>121</v>
      </c>
      <c r="C40" s="85">
        <v>1662591.75</v>
      </c>
    </row>
    <row r="41" spans="1:8">
      <c r="A41" s="89" t="s">
        <v>122</v>
      </c>
      <c r="B41" s="90"/>
      <c r="D41" s="90">
        <f>+++++++C40</f>
        <v>1662591.75</v>
      </c>
    </row>
    <row r="42" spans="1:8">
      <c r="B42" s="90"/>
    </row>
    <row r="43" spans="1:8">
      <c r="B43" s="90"/>
    </row>
    <row r="44" spans="1:8" ht="20.5">
      <c r="A44" s="120" t="s">
        <v>33</v>
      </c>
      <c r="B44" s="90"/>
    </row>
    <row r="45" spans="1:8">
      <c r="A45" s="89" t="s">
        <v>103</v>
      </c>
      <c r="B45" s="90"/>
      <c r="C45" s="85">
        <f>+G16+G17</f>
        <v>8142782.1798469992</v>
      </c>
    </row>
    <row r="46" spans="1:8">
      <c r="A46" s="89" t="s">
        <v>100</v>
      </c>
      <c r="B46" s="90"/>
    </row>
    <row r="47" spans="1:8">
      <c r="A47" s="89" t="s">
        <v>99</v>
      </c>
      <c r="B47" s="90"/>
      <c r="H47" s="107"/>
    </row>
    <row r="48" spans="1:8">
      <c r="B48" s="90"/>
    </row>
    <row r="49" spans="1:10">
      <c r="B49" s="90"/>
    </row>
    <row r="50" spans="1:10">
      <c r="B50" s="90"/>
    </row>
    <row r="51" spans="1:10">
      <c r="B51" s="90"/>
      <c r="C51" s="90"/>
      <c r="E51" s="90"/>
      <c r="F51" s="90"/>
      <c r="G51" s="90"/>
      <c r="I51" s="90"/>
      <c r="J51" s="90"/>
    </row>
    <row r="52" spans="1:10">
      <c r="B52" s="90"/>
    </row>
    <row r="53" spans="1:10">
      <c r="B53" s="85"/>
    </row>
    <row r="54" spans="1:10">
      <c r="B54" s="90"/>
    </row>
    <row r="55" spans="1:10">
      <c r="B55" s="90"/>
      <c r="C55" s="90"/>
      <c r="E55" s="90"/>
      <c r="F55" s="90"/>
      <c r="G55" s="90"/>
      <c r="J55" s="90"/>
    </row>
    <row r="56" spans="1:10">
      <c r="B56" s="90"/>
      <c r="C56" s="90"/>
      <c r="E56" s="90"/>
      <c r="F56" s="90"/>
      <c r="G56" s="90"/>
      <c r="J56" s="90"/>
    </row>
    <row r="57" spans="1:10">
      <c r="B57" s="90"/>
    </row>
    <row r="58" spans="1:10">
      <c r="A58" s="122"/>
      <c r="B58" s="90"/>
      <c r="H58" s="107"/>
    </row>
    <row r="59" spans="1:10">
      <c r="A59" s="123"/>
      <c r="B59" s="90"/>
    </row>
    <row r="60" spans="1:10">
      <c r="A60" s="123"/>
      <c r="B60" s="90"/>
    </row>
    <row r="61" spans="1:10">
      <c r="A61" s="123"/>
      <c r="B61" s="90"/>
    </row>
    <row r="62" spans="1:10">
      <c r="B62" s="90"/>
    </row>
    <row r="63" spans="1:10">
      <c r="B63" s="124"/>
    </row>
    <row r="64" spans="1:10">
      <c r="B64" s="90"/>
    </row>
    <row r="65" spans="1:10">
      <c r="B65" s="90"/>
      <c r="C65" s="90"/>
      <c r="E65" s="90"/>
      <c r="F65" s="90"/>
      <c r="G65" s="90"/>
      <c r="J65" s="90"/>
    </row>
    <row r="66" spans="1:10">
      <c r="B66" s="90"/>
      <c r="C66" s="90"/>
      <c r="E66" s="90"/>
      <c r="F66" s="90"/>
      <c r="G66" s="90"/>
    </row>
    <row r="67" spans="1:10">
      <c r="B67" s="90"/>
      <c r="C67" s="90"/>
      <c r="E67" s="90"/>
      <c r="F67" s="90"/>
      <c r="G67" s="90"/>
      <c r="J67" s="90"/>
    </row>
    <row r="68" spans="1:10">
      <c r="B68" s="90"/>
      <c r="C68" s="90"/>
      <c r="E68" s="90"/>
      <c r="F68" s="90"/>
      <c r="G68" s="90"/>
      <c r="J68" s="90"/>
    </row>
    <row r="69" spans="1:10">
      <c r="B69" s="90"/>
    </row>
    <row r="70" spans="1:10">
      <c r="B70" s="125"/>
      <c r="C70" s="125"/>
      <c r="D70" s="125"/>
      <c r="E70" s="125"/>
      <c r="F70" s="125"/>
      <c r="G70" s="125"/>
      <c r="H70" s="126"/>
      <c r="I70" s="127"/>
      <c r="J70" s="125"/>
    </row>
    <row r="71" spans="1:10">
      <c r="A71" s="128"/>
      <c r="B71" s="128"/>
    </row>
    <row r="72" spans="1:10">
      <c r="A72" s="129"/>
      <c r="B72" s="129"/>
    </row>
    <row r="73" spans="1:10">
      <c r="A73" s="129"/>
      <c r="B73" s="129"/>
    </row>
    <row r="74" spans="1:10" ht="18" customHeight="1">
      <c r="A74" s="129"/>
      <c r="B74" s="129"/>
    </row>
    <row r="75" spans="1:10">
      <c r="B75" s="90"/>
    </row>
    <row r="76" spans="1:10">
      <c r="B76" s="90"/>
      <c r="E76" s="90"/>
      <c r="F76" s="90"/>
      <c r="H76" s="107"/>
    </row>
    <row r="77" spans="1:10">
      <c r="B77" s="90"/>
      <c r="E77" s="90"/>
      <c r="F77" s="90"/>
    </row>
    <row r="78" spans="1:10">
      <c r="B78" s="90"/>
      <c r="E78" s="90"/>
      <c r="F78" s="90"/>
    </row>
    <row r="79" spans="1:10">
      <c r="B79" s="90"/>
      <c r="E79" s="90"/>
      <c r="F79" s="90"/>
      <c r="H79" s="107"/>
    </row>
    <row r="80" spans="1:10">
      <c r="B80" s="90"/>
      <c r="E80" s="90"/>
      <c r="F80" s="90"/>
    </row>
    <row r="81" spans="2:8">
      <c r="B81" s="90"/>
      <c r="C81" s="90"/>
      <c r="E81" s="90"/>
      <c r="F81" s="90"/>
      <c r="G81" s="90"/>
    </row>
    <row r="82" spans="2:8">
      <c r="B82" s="90"/>
      <c r="E82" s="90"/>
      <c r="F82" s="90"/>
      <c r="G82" s="90"/>
    </row>
    <row r="83" spans="2:8">
      <c r="B83" s="90"/>
      <c r="C83" s="90"/>
      <c r="E83" s="90"/>
      <c r="F83" s="90"/>
    </row>
    <row r="84" spans="2:8">
      <c r="B84" s="90"/>
      <c r="C84" s="90"/>
      <c r="E84" s="90"/>
      <c r="F84" s="90"/>
      <c r="H84" s="107"/>
    </row>
    <row r="85" spans="2:8">
      <c r="B85" s="90"/>
      <c r="C85" s="90"/>
      <c r="E85" s="90"/>
      <c r="F85" s="90"/>
    </row>
    <row r="86" spans="2:8">
      <c r="B86" s="90"/>
      <c r="C86" s="90"/>
      <c r="E86" s="90"/>
      <c r="F86" s="90"/>
    </row>
    <row r="87" spans="2:8">
      <c r="B87" s="90"/>
      <c r="C87" s="90"/>
      <c r="E87" s="90"/>
      <c r="F87" s="90"/>
      <c r="G87" s="90"/>
    </row>
    <row r="88" spans="2:8">
      <c r="B88" s="90"/>
      <c r="C88" s="90"/>
      <c r="E88" s="90"/>
      <c r="F88" s="90"/>
      <c r="G88" s="90"/>
    </row>
    <row r="89" spans="2:8">
      <c r="B89" s="90"/>
      <c r="C89" s="90"/>
      <c r="E89" s="90"/>
      <c r="F89" s="90"/>
      <c r="G89" s="90"/>
    </row>
    <row r="90" spans="2:8">
      <c r="B90" s="90"/>
      <c r="C90" s="90"/>
      <c r="E90" s="90"/>
      <c r="F90" s="90"/>
    </row>
    <row r="91" spans="2:8">
      <c r="B91" s="124"/>
      <c r="C91" s="124"/>
      <c r="D91" s="124"/>
      <c r="E91" s="124"/>
      <c r="F91" s="124"/>
    </row>
    <row r="92" spans="2:8">
      <c r="B92" s="128"/>
      <c r="C92" s="128"/>
      <c r="D92" s="128"/>
      <c r="E92" s="128"/>
      <c r="F92" s="128"/>
      <c r="G92" s="128"/>
    </row>
    <row r="93" spans="2:8">
      <c r="B93" s="124"/>
      <c r="C93" s="124"/>
      <c r="D93" s="124"/>
      <c r="E93" s="124"/>
      <c r="F93" s="124"/>
      <c r="G93" s="124"/>
    </row>
    <row r="94" spans="2:8">
      <c r="B94" s="90"/>
      <c r="C94" s="90"/>
      <c r="E94" s="90"/>
      <c r="F94" s="90"/>
      <c r="G94" s="90"/>
    </row>
    <row r="95" spans="2:8" ht="10" customHeight="1">
      <c r="B95" s="90"/>
      <c r="C95" s="90"/>
      <c r="E95" s="90"/>
      <c r="F95" s="90"/>
      <c r="G95" s="90"/>
    </row>
    <row r="96" spans="2:8">
      <c r="B96" s="90"/>
    </row>
    <row r="97" spans="2:2">
      <c r="B97" s="90"/>
    </row>
    <row r="98" spans="2:2">
      <c r="B98" s="90"/>
    </row>
    <row r="99" spans="2:2">
      <c r="B99" s="90"/>
    </row>
    <row r="100" spans="2:2">
      <c r="B100" s="90"/>
    </row>
    <row r="101" spans="2:2">
      <c r="B101" s="90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09765625" defaultRowHeight="17.5"/>
  <cols>
    <col min="1" max="2" width="2.69921875" style="3" customWidth="1"/>
    <col min="3" max="3" width="36.69921875" style="3" customWidth="1"/>
    <col min="4" max="5" width="12.69921875" style="5" customWidth="1"/>
    <col min="6" max="6" width="12.69921875" style="1" customWidth="1"/>
    <col min="7" max="7" width="12.69921875" style="2" customWidth="1"/>
    <col min="8" max="10" width="12.69921875" style="1" customWidth="1"/>
    <col min="11" max="11" width="15.296875" style="53" customWidth="1"/>
    <col min="12" max="13" width="12.69921875" style="1" customWidth="1"/>
    <col min="14" max="14" width="2.296875" style="3" customWidth="1"/>
    <col min="15" max="16" width="12.69921875" style="3" customWidth="1"/>
    <col min="17" max="16384" width="9.09765625" style="3"/>
  </cols>
  <sheetData>
    <row r="1" spans="1:15">
      <c r="A1" s="46" t="s">
        <v>52</v>
      </c>
      <c r="B1" s="27"/>
      <c r="C1" s="27"/>
      <c r="D1" s="27"/>
      <c r="E1" s="27"/>
      <c r="G1" s="43"/>
      <c r="H1" s="44"/>
      <c r="I1" s="44"/>
    </row>
    <row r="2" spans="1:15" ht="21.75" customHeight="1">
      <c r="A2" s="46" t="s">
        <v>70</v>
      </c>
      <c r="B2" s="27"/>
      <c r="C2" s="27"/>
      <c r="D2" s="27"/>
      <c r="E2" s="27"/>
    </row>
    <row r="3" spans="1:15" ht="21.75" customHeight="1">
      <c r="A3" s="41" t="s">
        <v>69</v>
      </c>
      <c r="B3" s="27"/>
      <c r="C3" s="27"/>
      <c r="D3" s="27"/>
      <c r="E3" s="27"/>
      <c r="K3" s="223" t="s">
        <v>71</v>
      </c>
      <c r="L3" s="223"/>
    </row>
    <row r="4" spans="1:15" s="37" customFormat="1" ht="18" customHeight="1">
      <c r="D4" s="47" t="s">
        <v>62</v>
      </c>
      <c r="E4" s="47" t="s">
        <v>63</v>
      </c>
      <c r="F4" s="49" t="s">
        <v>64</v>
      </c>
      <c r="G4" s="50" t="s">
        <v>65</v>
      </c>
      <c r="H4" s="49" t="s">
        <v>66</v>
      </c>
      <c r="I4" s="49" t="s">
        <v>67</v>
      </c>
      <c r="J4" s="49" t="s">
        <v>27</v>
      </c>
      <c r="K4" s="54" t="s">
        <v>72</v>
      </c>
      <c r="L4" s="51" t="s">
        <v>73</v>
      </c>
      <c r="M4" s="48" t="s">
        <v>33</v>
      </c>
    </row>
    <row r="5" spans="1:15">
      <c r="A5" s="9" t="s">
        <v>8</v>
      </c>
      <c r="B5" s="9"/>
      <c r="C5" s="9"/>
      <c r="D5" s="11"/>
      <c r="E5" s="11"/>
    </row>
    <row r="6" spans="1:15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7" t="s">
        <v>84</v>
      </c>
      <c r="L8" s="1">
        <v>-4636052.1100000003</v>
      </c>
      <c r="M8" s="1">
        <f t="shared" si="1"/>
        <v>1605000</v>
      </c>
    </row>
    <row r="9" spans="1:15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>
      <c r="A10" s="9"/>
      <c r="B10" s="9" t="s">
        <v>113</v>
      </c>
      <c r="C10" s="9"/>
      <c r="D10" s="11"/>
      <c r="E10" s="11"/>
      <c r="H10" s="61">
        <f>4274821.25+348965</f>
        <v>4623786.25</v>
      </c>
      <c r="J10" s="1">
        <f t="shared" si="0"/>
        <v>4623786.25</v>
      </c>
      <c r="K10" s="53" t="s">
        <v>130</v>
      </c>
      <c r="L10" s="1">
        <v>-4274821.25</v>
      </c>
      <c r="M10" s="1">
        <f t="shared" si="1"/>
        <v>348965</v>
      </c>
    </row>
    <row r="11" spans="1:15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7" t="s">
        <v>85</v>
      </c>
      <c r="L11" s="1">
        <v>-90000</v>
      </c>
      <c r="M11" s="1">
        <f t="shared" si="1"/>
        <v>0</v>
      </c>
    </row>
    <row r="12" spans="1:15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5">
        <v>615.72</v>
      </c>
      <c r="M18" s="1">
        <f t="shared" si="1"/>
        <v>169599.31000000006</v>
      </c>
      <c r="O18" s="4">
        <f>+M18+M17+M16-760988.4</f>
        <v>0</v>
      </c>
    </row>
    <row r="19" spans="1:15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5"/>
      <c r="L19" s="17"/>
      <c r="M19" s="16">
        <f>SUM(M6:M18)</f>
        <v>391037675.44</v>
      </c>
    </row>
    <row r="20" spans="1:15">
      <c r="A20" s="9" t="s">
        <v>45</v>
      </c>
      <c r="B20" s="9"/>
      <c r="C20" s="9"/>
      <c r="D20" s="11"/>
      <c r="E20" s="11"/>
      <c r="K20" s="57"/>
    </row>
    <row r="21" spans="1:15">
      <c r="A21" s="9"/>
      <c r="B21" s="9" t="s">
        <v>54</v>
      </c>
      <c r="C21" s="9"/>
      <c r="D21" s="45">
        <v>56419678</v>
      </c>
      <c r="E21" s="11"/>
      <c r="H21" s="1">
        <v>0</v>
      </c>
      <c r="J21" s="1">
        <f t="shared" ref="J21:J27" si="3">+I21+H21+G21+F21+E21+D21</f>
        <v>56419678</v>
      </c>
      <c r="K21" s="57" t="s">
        <v>87</v>
      </c>
      <c r="L21" s="1">
        <v>-56419678</v>
      </c>
      <c r="M21" s="1">
        <f>+J21+L21</f>
        <v>0</v>
      </c>
    </row>
    <row r="22" spans="1:15">
      <c r="A22" s="9"/>
      <c r="B22" s="9" t="s">
        <v>112</v>
      </c>
      <c r="C22" s="9"/>
      <c r="D22" s="45">
        <v>-22681399.34</v>
      </c>
      <c r="E22" s="11"/>
      <c r="J22" s="1">
        <f t="shared" si="3"/>
        <v>-22681399.34</v>
      </c>
      <c r="K22" s="57" t="s">
        <v>109</v>
      </c>
      <c r="L22" s="1">
        <v>22681399.34</v>
      </c>
      <c r="M22" s="1">
        <f>+J22+L22</f>
        <v>0</v>
      </c>
    </row>
    <row r="23" spans="1:15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" thickBot="1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" thickTop="1">
      <c r="A30" s="9" t="s">
        <v>48</v>
      </c>
      <c r="B30" s="9"/>
      <c r="C30" s="9"/>
      <c r="D30" s="11"/>
      <c r="E30" s="11"/>
    </row>
    <row r="31" spans="1:15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>
      <c r="A32" s="9"/>
      <c r="B32" s="9" t="s">
        <v>82</v>
      </c>
      <c r="C32" s="9"/>
      <c r="D32" s="11"/>
      <c r="E32" s="67">
        <v>-85088.98</v>
      </c>
      <c r="F32" s="61">
        <v>-2456075.3199999998</v>
      </c>
      <c r="G32" s="68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7" t="s">
        <v>85</v>
      </c>
      <c r="L36" s="1">
        <v>90000</v>
      </c>
      <c r="M36" s="1">
        <f t="shared" si="1"/>
        <v>-4556657.59</v>
      </c>
    </row>
    <row r="37" spans="1:15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>
      <c r="A41" s="9" t="s">
        <v>50</v>
      </c>
      <c r="B41" s="9"/>
      <c r="C41" s="9"/>
      <c r="D41" s="11"/>
      <c r="E41" s="11"/>
    </row>
    <row r="42" spans="1:15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>
      <c r="A43" s="9"/>
      <c r="B43" s="9"/>
      <c r="C43" s="9" t="s">
        <v>43</v>
      </c>
      <c r="D43" s="45">
        <v>-1662591.75</v>
      </c>
      <c r="E43" s="11"/>
      <c r="H43" s="1">
        <v>0</v>
      </c>
      <c r="J43" s="1">
        <f>+I43+H43+G43+F43+E43+D43</f>
        <v>-1662591.75</v>
      </c>
      <c r="K43" s="57" t="s">
        <v>110</v>
      </c>
      <c r="L43" s="1">
        <v>1662591.75</v>
      </c>
      <c r="M43" s="61">
        <f t="shared" si="1"/>
        <v>0</v>
      </c>
    </row>
    <row r="44" spans="1:15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" thickBot="1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" thickTop="1">
      <c r="A46" s="9" t="s">
        <v>51</v>
      </c>
      <c r="B46" s="9"/>
      <c r="C46" s="9"/>
      <c r="D46" s="11"/>
      <c r="E46" s="11"/>
    </row>
    <row r="47" spans="1:15">
      <c r="A47" s="9"/>
      <c r="B47" s="9" t="s">
        <v>68</v>
      </c>
      <c r="C47" s="39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7" t="s">
        <v>87</v>
      </c>
      <c r="L47" s="1">
        <v>56419678</v>
      </c>
      <c r="M47" s="1">
        <f>+L47+J47+L48</f>
        <v>-362267781.5</v>
      </c>
    </row>
    <row r="48" spans="1:15">
      <c r="A48" s="9"/>
      <c r="B48" s="9" t="s">
        <v>23</v>
      </c>
      <c r="C48" s="36"/>
      <c r="D48" s="11"/>
      <c r="E48" s="11"/>
      <c r="J48" s="1">
        <f t="shared" si="10"/>
        <v>0</v>
      </c>
      <c r="K48" s="57" t="s">
        <v>111</v>
      </c>
      <c r="L48" s="1">
        <f>425+5001000+4294+4326700+1179903</f>
        <v>10512322</v>
      </c>
    </row>
    <row r="49" spans="1:16">
      <c r="A49" s="9"/>
      <c r="B49" s="9" t="s">
        <v>56</v>
      </c>
      <c r="C49" s="36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>
      <c r="A50" s="9"/>
      <c r="B50" s="9" t="s">
        <v>57</v>
      </c>
      <c r="C50" s="36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>
      <c r="A51" s="9"/>
      <c r="B51" s="9" t="s">
        <v>108</v>
      </c>
      <c r="C51" s="36"/>
      <c r="D51" s="45">
        <f>-22681399.34+23463363.08</f>
        <v>781963.73999999836</v>
      </c>
      <c r="E51" s="11"/>
      <c r="J51" s="1">
        <f t="shared" si="10"/>
        <v>781963.73999999836</v>
      </c>
      <c r="K51" s="64" t="s">
        <v>109</v>
      </c>
      <c r="L51" s="63">
        <f>-1250375-21431024.34</f>
        <v>-22681399.34</v>
      </c>
      <c r="M51" s="62">
        <f>+J51+L51+L52+L53</f>
        <v>0</v>
      </c>
    </row>
    <row r="52" spans="1:16">
      <c r="A52" s="9"/>
      <c r="B52" s="9"/>
      <c r="C52" s="36"/>
      <c r="D52" s="11"/>
      <c r="E52" s="11"/>
      <c r="K52" s="69" t="s">
        <v>110</v>
      </c>
      <c r="L52" s="70"/>
    </row>
    <row r="53" spans="1:16">
      <c r="A53" s="9"/>
      <c r="B53" s="9"/>
      <c r="C53" s="36"/>
      <c r="D53" s="11"/>
      <c r="E53" s="11"/>
      <c r="K53" s="65" t="s">
        <v>114</v>
      </c>
      <c r="L53" s="66">
        <v>21899435.600000001</v>
      </c>
    </row>
    <row r="54" spans="1:16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>
      <c r="A56" s="9"/>
      <c r="B56" s="9"/>
      <c r="C56" s="9" t="s">
        <v>116</v>
      </c>
      <c r="D56" s="76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2">
        <f t="shared" si="10"/>
        <v>-10938977.23</v>
      </c>
      <c r="K56" s="53" t="s">
        <v>124</v>
      </c>
      <c r="L56" s="1">
        <f>+L89</f>
        <v>-525007.16</v>
      </c>
      <c r="M56" s="79">
        <f>+L56+J56</f>
        <v>-11463984.390000001</v>
      </c>
    </row>
    <row r="57" spans="1:16">
      <c r="A57" s="9"/>
      <c r="B57" s="9"/>
      <c r="C57" s="9"/>
      <c r="D57" s="12"/>
      <c r="E57" s="12"/>
      <c r="F57" s="12"/>
      <c r="G57" s="12"/>
      <c r="H57" s="12"/>
      <c r="I57" s="58"/>
      <c r="K57" s="64" t="s">
        <v>114</v>
      </c>
      <c r="L57" s="59">
        <f>-(+E58+F58+G58+H58+I58)</f>
        <v>-29747581.820000004</v>
      </c>
    </row>
    <row r="58" spans="1:16">
      <c r="A58" s="9"/>
      <c r="B58" s="9"/>
      <c r="C58" s="9" t="s">
        <v>115</v>
      </c>
      <c r="D58" s="77">
        <v>-56281432.560000002</v>
      </c>
      <c r="E58" s="23">
        <f>-533031.27</f>
        <v>-533031.27</v>
      </c>
      <c r="F58" s="48">
        <f>11662591.75</f>
        <v>11662591.75</v>
      </c>
      <c r="G58" s="52">
        <f>20184627.17-G56</f>
        <v>18618021.340000004</v>
      </c>
      <c r="H58" s="48">
        <v>0</v>
      </c>
      <c r="I58" s="48">
        <v>0</v>
      </c>
      <c r="J58" s="62">
        <f t="shared" si="10"/>
        <v>-26533850.739999998</v>
      </c>
      <c r="L58" s="31"/>
      <c r="M58" s="78">
        <f>+L58+J58+L57</f>
        <v>-56281432.560000002</v>
      </c>
    </row>
    <row r="59" spans="1:16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7" t="s">
        <v>111</v>
      </c>
      <c r="L60" s="1">
        <f>-L48</f>
        <v>-10512322</v>
      </c>
      <c r="M60" s="1">
        <f>+J60+L60+L61+L65+L64+L63+L62</f>
        <v>472445.15999999968</v>
      </c>
    </row>
    <row r="61" spans="1:16">
      <c r="A61" s="9"/>
      <c r="B61" s="9"/>
      <c r="C61" s="9"/>
      <c r="D61" s="23"/>
      <c r="E61" s="23"/>
      <c r="F61" s="23"/>
      <c r="G61" s="23"/>
      <c r="H61" s="23"/>
      <c r="I61" s="23"/>
      <c r="J61" s="23"/>
      <c r="K61" s="69" t="s">
        <v>117</v>
      </c>
      <c r="L61" s="1">
        <v>7848146.2199999997</v>
      </c>
    </row>
    <row r="62" spans="1:16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7" t="str">
        <f>+K43</f>
        <v>5)AJE ประมาณการชาดทุน</v>
      </c>
      <c r="L62" s="1">
        <f>-L43</f>
        <v>-1662591.75</v>
      </c>
    </row>
    <row r="63" spans="1:16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3" t="s">
        <v>130</v>
      </c>
      <c r="L63" s="1">
        <f>-L10</f>
        <v>4274821.25</v>
      </c>
    </row>
    <row r="64" spans="1:16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9"/>
      <c r="L64" s="1">
        <f>-L18</f>
        <v>-615.72</v>
      </c>
    </row>
    <row r="65" spans="1:15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60" t="s">
        <v>119</v>
      </c>
      <c r="L65" s="1">
        <f>-L88</f>
        <v>525007.16</v>
      </c>
      <c r="M65" s="11">
        <f>+M60+M59</f>
        <v>-393631642.79999995</v>
      </c>
    </row>
    <row r="66" spans="1:15" ht="18" thickBot="1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" thickTop="1">
      <c r="A67" s="9"/>
      <c r="B67" s="9"/>
      <c r="C67" s="9"/>
      <c r="D67" s="17">
        <f t="shared" ref="D67:J67" si="14">+D66+D29</f>
        <v>0</v>
      </c>
      <c r="E67" s="40">
        <f t="shared" si="14"/>
        <v>0</v>
      </c>
      <c r="F67" s="40">
        <f t="shared" si="14"/>
        <v>-2.3283064365386963E-10</v>
      </c>
      <c r="G67" s="40">
        <f t="shared" si="14"/>
        <v>0</v>
      </c>
      <c r="H67" s="40">
        <f t="shared" si="14"/>
        <v>0</v>
      </c>
      <c r="I67" s="40">
        <f t="shared" si="14"/>
        <v>0</v>
      </c>
      <c r="J67" s="40">
        <f t="shared" si="14"/>
        <v>0</v>
      </c>
      <c r="K67" s="56" t="s">
        <v>79</v>
      </c>
      <c r="L67" s="42">
        <f>SUM(L6:L66)</f>
        <v>0</v>
      </c>
      <c r="M67" s="40">
        <f>+M66+M29</f>
        <v>0</v>
      </c>
    </row>
    <row r="68" spans="1:15">
      <c r="A68" s="9"/>
      <c r="B68" s="9"/>
      <c r="C68" s="10"/>
      <c r="D68" s="10"/>
      <c r="E68" s="10"/>
    </row>
    <row r="69" spans="1:15" ht="18" customHeight="1">
      <c r="A69" s="46" t="s">
        <v>3</v>
      </c>
      <c r="B69" s="46"/>
      <c r="C69" s="46"/>
      <c r="D69" s="46"/>
      <c r="E69" s="46"/>
    </row>
    <row r="70" spans="1:15">
      <c r="A70" s="9" t="s">
        <v>39</v>
      </c>
      <c r="B70" s="9"/>
      <c r="C70" s="9"/>
      <c r="D70" s="11"/>
      <c r="E70" s="11"/>
    </row>
    <row r="71" spans="1:15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7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7"/>
      <c r="M74" s="1">
        <f t="shared" si="1"/>
        <v>-3490019.18</v>
      </c>
      <c r="O74" s="4">
        <f>3490019.18+M74</f>
        <v>0</v>
      </c>
    </row>
    <row r="75" spans="1:15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7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3"/>
    </row>
    <row r="82" spans="1:15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71">
        <f>SUM(M78:M81)</f>
        <v>16126489.43</v>
      </c>
    </row>
    <row r="83" spans="1:15">
      <c r="A83" s="9"/>
      <c r="B83" s="9"/>
      <c r="C83" s="9" t="s">
        <v>129</v>
      </c>
      <c r="D83" s="11"/>
      <c r="E83" s="80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>
      <c r="A86" s="9" t="s">
        <v>16</v>
      </c>
      <c r="B86" s="9"/>
      <c r="C86" s="9"/>
      <c r="D86" s="23">
        <v>89221.59</v>
      </c>
      <c r="E86" s="33">
        <f>4270251.98-300787.5</f>
        <v>3969464.4800000004</v>
      </c>
      <c r="F86" s="33">
        <v>0</v>
      </c>
      <c r="G86" s="33">
        <v>0</v>
      </c>
      <c r="H86" s="33">
        <v>0</v>
      </c>
      <c r="I86" s="33">
        <v>0</v>
      </c>
      <c r="J86" s="48">
        <f>+I86+H86+G86+F86+E86+D86</f>
        <v>4058686.0700000003</v>
      </c>
      <c r="M86" s="48">
        <f t="shared" si="16"/>
        <v>4058686.0700000003</v>
      </c>
    </row>
    <row r="87" spans="1:15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>
      <c r="A88" s="9" t="s">
        <v>37</v>
      </c>
      <c r="B88" s="9"/>
      <c r="C88" s="9"/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57" t="s">
        <v>123</v>
      </c>
      <c r="L88" s="1">
        <v>-525007.16</v>
      </c>
      <c r="M88" s="48">
        <f t="shared" si="16"/>
        <v>-525007.16</v>
      </c>
    </row>
    <row r="89" spans="1:15" ht="18" thickBot="1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2">
        <f>SUM(M87:M88)</f>
        <v>-11463984.390000001</v>
      </c>
    </row>
    <row r="90" spans="1:15" ht="10" customHeight="1" thickTop="1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>
      <c r="M91" s="1">
        <f t="shared" si="16"/>
        <v>0</v>
      </c>
    </row>
    <row r="92" spans="1:15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BS_Q1-66</vt:lpstr>
      <vt:lpstr>Changed-Conso</vt:lpstr>
      <vt:lpstr>Changed-Com</vt:lpstr>
      <vt:lpstr>PL_Q1-66</vt:lpstr>
      <vt:lpstr>CashFlow</vt:lpstr>
      <vt:lpstr>Equity</vt:lpstr>
      <vt:lpstr>Conso_Q150</vt:lpstr>
      <vt:lpstr>CashFlow!OLE_LINK3</vt:lpstr>
      <vt:lpstr>'BS_Q1-66'!Print_Area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'PL_Q1-66'!Print_Area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ชยุส บุญสุภา</cp:lastModifiedBy>
  <cp:lastPrinted>2023-05-09T12:44:13Z</cp:lastPrinted>
  <dcterms:created xsi:type="dcterms:W3CDTF">2003-04-30T06:44:25Z</dcterms:created>
  <dcterms:modified xsi:type="dcterms:W3CDTF">2023-05-09T12:44:17Z</dcterms:modified>
</cp:coreProperties>
</file>