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3\Q2-2023\"/>
    </mc:Choice>
  </mc:AlternateContent>
  <xr:revisionPtr revIDLastSave="0" documentId="13_ncr:1_{7E540AA3-5DF5-42CD-88F3-2F7BCE840BBE}" xr6:coauthVersionLast="47" xr6:coauthVersionMax="47" xr10:uidLastSave="{00000000-0000-0000-0000-000000000000}"/>
  <bookViews>
    <workbookView xWindow="-120" yWindow="-120" windowWidth="29040" windowHeight="15840" tabRatio="880" xr2:uid="{00000000-000D-0000-FFFF-FFFF00000000}"/>
  </bookViews>
  <sheets>
    <sheet name="BS_Q2-66" sheetId="50" r:id="rId1"/>
    <sheet name="PL_Q2-66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CashFlow!$A$142</definedName>
    <definedName name="_xlnm.Print_Area" localSheetId="0">'BS_Q2-66'!$A$1:$L$138</definedName>
    <definedName name="_xlnm.Print_Area" localSheetId="4">CashFlow!$A$1:$M$94</definedName>
    <definedName name="_xlnm.Print_Area" localSheetId="3">'Changed-Com'!$A$1:$X$44</definedName>
    <definedName name="_xlnm.Print_Area" localSheetId="2">'Changed-Conso'!$A$1:$Z$47</definedName>
    <definedName name="_xlnm.Print_Area" localSheetId="6">Conso_Q150!$A$1:$M$92</definedName>
    <definedName name="_xlnm.Print_Area" localSheetId="5">Equity!$A$1:$G$42</definedName>
    <definedName name="_xlnm.Print_Area" localSheetId="1">'PL_Q2-66'!$A$1:$L$202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6" i="58" l="1"/>
  <c r="J46" i="58"/>
  <c r="H46" i="58"/>
  <c r="L42" i="58"/>
  <c r="J42" i="58"/>
  <c r="H42" i="58"/>
  <c r="F46" i="58"/>
  <c r="F42" i="58"/>
  <c r="F142" i="58"/>
  <c r="M71" i="47"/>
  <c r="M64" i="47"/>
  <c r="I71" i="47"/>
  <c r="I64" i="47"/>
  <c r="M10" i="47"/>
  <c r="T17" i="48"/>
  <c r="X17" i="48" s="1"/>
  <c r="X16" i="48"/>
  <c r="X13" i="48"/>
  <c r="T21" i="49"/>
  <c r="V21" i="49" s="1"/>
  <c r="Z21" i="49" s="1"/>
  <c r="N21" i="49"/>
  <c r="T20" i="49"/>
  <c r="V20" i="49" s="1"/>
  <c r="Z20" i="49" s="1"/>
  <c r="T19" i="49"/>
  <c r="V19" i="49" s="1"/>
  <c r="Z19" i="49" s="1"/>
  <c r="T18" i="49"/>
  <c r="V18" i="49" s="1"/>
  <c r="Z18" i="49" s="1"/>
  <c r="T15" i="49"/>
  <c r="V15" i="49" s="1"/>
  <c r="Z15" i="49" s="1"/>
  <c r="L129" i="58" l="1"/>
  <c r="L121" i="58"/>
  <c r="L109" i="58"/>
  <c r="H129" i="58"/>
  <c r="H121" i="58"/>
  <c r="L29" i="58"/>
  <c r="L21" i="58"/>
  <c r="L8" i="58"/>
  <c r="H29" i="58"/>
  <c r="H21" i="58"/>
  <c r="H130" i="58" l="1"/>
  <c r="H132" i="58" s="1"/>
  <c r="H134" i="58" s="1"/>
  <c r="H137" i="58" s="1"/>
  <c r="H139" i="58" s="1"/>
  <c r="L130" i="58"/>
  <c r="L132" i="58" s="1"/>
  <c r="L134" i="58" s="1"/>
  <c r="L137" i="58" s="1"/>
  <c r="L146" i="58" s="1"/>
  <c r="L30" i="58"/>
  <c r="L32" i="58" s="1"/>
  <c r="L34" i="58" s="1"/>
  <c r="H30" i="58"/>
  <c r="H32" i="58" s="1"/>
  <c r="H34" i="58" s="1"/>
  <c r="N36" i="49"/>
  <c r="T36" i="49"/>
  <c r="V36" i="49" s="1"/>
  <c r="Z36" i="49" s="1"/>
  <c r="T33" i="48"/>
  <c r="X33" i="48" s="1"/>
  <c r="T33" i="49"/>
  <c r="V33" i="49" s="1"/>
  <c r="Z33" i="49" s="1"/>
  <c r="T30" i="48"/>
  <c r="X30" i="48" s="1"/>
  <c r="H146" i="58" l="1"/>
  <c r="H142" i="58"/>
  <c r="L37" i="58"/>
  <c r="M12" i="47"/>
  <c r="M27" i="47" s="1"/>
  <c r="M43" i="47" s="1"/>
  <c r="M46" i="47" s="1"/>
  <c r="M73" i="47" s="1"/>
  <c r="M75" i="47" s="1"/>
  <c r="H37" i="58"/>
  <c r="I12" i="47"/>
  <c r="I27" i="47" s="1"/>
  <c r="I43" i="47" s="1"/>
  <c r="I46" i="47" s="1"/>
  <c r="I73" i="47" s="1"/>
  <c r="I75" i="47" s="1"/>
  <c r="L142" i="58"/>
  <c r="L139" i="58"/>
  <c r="L39" i="58" l="1"/>
  <c r="H39" i="58"/>
  <c r="L181" i="58"/>
  <c r="J181" i="58"/>
  <c r="H181" i="58"/>
  <c r="F181" i="58"/>
  <c r="L175" i="58"/>
  <c r="J175" i="58"/>
  <c r="H175" i="58"/>
  <c r="F175" i="58"/>
  <c r="H162" i="58"/>
  <c r="F162" i="58"/>
  <c r="F161" i="58"/>
  <c r="A157" i="58"/>
  <c r="A155" i="58"/>
  <c r="J129" i="58"/>
  <c r="F129" i="58"/>
  <c r="J121" i="58"/>
  <c r="F121" i="58"/>
  <c r="L162" i="58"/>
  <c r="J109" i="58"/>
  <c r="J162" i="58" s="1"/>
  <c r="J108" i="58"/>
  <c r="J161" i="58" s="1"/>
  <c r="F75" i="58"/>
  <c r="R37" i="49"/>
  <c r="F130" i="58" l="1"/>
  <c r="F132" i="58" s="1"/>
  <c r="F134" i="58" s="1"/>
  <c r="F137" i="58" s="1"/>
  <c r="J130" i="58"/>
  <c r="J132" i="58" s="1"/>
  <c r="J134" i="58" s="1"/>
  <c r="J164" i="58" s="1"/>
  <c r="J177" i="58" s="1"/>
  <c r="J180" i="58" s="1"/>
  <c r="J182" i="58" s="1"/>
  <c r="H164" i="58"/>
  <c r="H177" i="58" s="1"/>
  <c r="H180" i="58" s="1"/>
  <c r="H182" i="58" s="1"/>
  <c r="L164" i="58"/>
  <c r="L177" i="58" s="1"/>
  <c r="L180" i="58" s="1"/>
  <c r="L182" i="58" s="1"/>
  <c r="F164" i="58" l="1"/>
  <c r="F177" i="58" s="1"/>
  <c r="F180" i="58" s="1"/>
  <c r="F182" i="58" s="1"/>
  <c r="J137" i="58"/>
  <c r="J146" i="58" s="1"/>
  <c r="F146" i="58"/>
  <c r="F139" i="58"/>
  <c r="J142" i="58" l="1"/>
  <c r="J139" i="58"/>
  <c r="T34" i="49"/>
  <c r="V34" i="49" s="1"/>
  <c r="Z34" i="49" s="1"/>
  <c r="T32" i="49"/>
  <c r="V32" i="49" s="1"/>
  <c r="Z32" i="49" s="1"/>
  <c r="X31" i="48"/>
  <c r="X29" i="48"/>
  <c r="K9" i="47" l="1"/>
  <c r="K10" i="47"/>
  <c r="V22" i="48"/>
  <c r="V24" i="48" s="1"/>
  <c r="X18" i="48"/>
  <c r="R24" i="49"/>
  <c r="N24" i="49" s="1"/>
  <c r="P24" i="49"/>
  <c r="L62" i="58"/>
  <c r="J8" i="58"/>
  <c r="J62" i="58" s="1"/>
  <c r="L79" i="50"/>
  <c r="L73" i="50"/>
  <c r="H79" i="50"/>
  <c r="H73" i="50"/>
  <c r="H54" i="50"/>
  <c r="H101" i="50" s="1"/>
  <c r="L39" i="50"/>
  <c r="L27" i="50"/>
  <c r="L8" i="50"/>
  <c r="L54" i="50" s="1"/>
  <c r="L101" i="50" s="1"/>
  <c r="H39" i="50"/>
  <c r="H27" i="50"/>
  <c r="F21" i="58"/>
  <c r="F24" i="48"/>
  <c r="P37" i="49"/>
  <c r="X37" i="49"/>
  <c r="X42" i="49" s="1"/>
  <c r="F118" i="50" s="1"/>
  <c r="P39" i="49"/>
  <c r="A51" i="50"/>
  <c r="A98" i="50" s="1"/>
  <c r="J79" i="50"/>
  <c r="F79" i="50"/>
  <c r="H38" i="48"/>
  <c r="J111" i="50" s="1"/>
  <c r="H24" i="48"/>
  <c r="H42" i="49"/>
  <c r="F111" i="50" s="1"/>
  <c r="H27" i="49"/>
  <c r="H62" i="58"/>
  <c r="F62" i="58"/>
  <c r="H117" i="50"/>
  <c r="H119" i="50" s="1"/>
  <c r="T29" i="49"/>
  <c r="V29" i="49" s="1"/>
  <c r="X27" i="49"/>
  <c r="P22" i="49"/>
  <c r="T22" i="49" s="1"/>
  <c r="L27" i="49"/>
  <c r="J27" i="49"/>
  <c r="F27" i="49"/>
  <c r="D27" i="49"/>
  <c r="L75" i="58"/>
  <c r="J75" i="58"/>
  <c r="V34" i="48" s="1"/>
  <c r="H75" i="58"/>
  <c r="R39" i="49"/>
  <c r="X26" i="48"/>
  <c r="T19" i="48"/>
  <c r="X19" i="48" s="1"/>
  <c r="R24" i="48"/>
  <c r="P24" i="48"/>
  <c r="N24" i="48"/>
  <c r="L24" i="48"/>
  <c r="J24" i="48"/>
  <c r="D24" i="48"/>
  <c r="G71" i="47"/>
  <c r="K71" i="47"/>
  <c r="J7" i="58"/>
  <c r="J61" i="58" s="1"/>
  <c r="F61" i="58"/>
  <c r="J21" i="58"/>
  <c r="J29" i="58"/>
  <c r="K64" i="47"/>
  <c r="F29" i="58"/>
  <c r="X32" i="48"/>
  <c r="R38" i="48"/>
  <c r="J114" i="50" s="1"/>
  <c r="J73" i="50"/>
  <c r="J38" i="48"/>
  <c r="J112" i="50" s="1"/>
  <c r="F38" i="48"/>
  <c r="D38" i="48"/>
  <c r="J42" i="49"/>
  <c r="F112" i="50" s="1"/>
  <c r="F42" i="49"/>
  <c r="L42" i="49"/>
  <c r="F114" i="50" s="1"/>
  <c r="AD42" i="49" s="1"/>
  <c r="D42" i="49"/>
  <c r="L117" i="50"/>
  <c r="L119" i="50" s="1"/>
  <c r="G64" i="47"/>
  <c r="F81" i="58"/>
  <c r="H81" i="58"/>
  <c r="A55" i="58"/>
  <c r="A57" i="58"/>
  <c r="J81" i="58"/>
  <c r="L81" i="58"/>
  <c r="F73" i="50"/>
  <c r="T35" i="49"/>
  <c r="V35" i="49" s="1"/>
  <c r="Z35" i="49" s="1"/>
  <c r="J8" i="50"/>
  <c r="J54" i="50" s="1"/>
  <c r="J101" i="50" s="1"/>
  <c r="F54" i="50"/>
  <c r="F101" i="50" s="1"/>
  <c r="A4" i="48"/>
  <c r="J27" i="50"/>
  <c r="J39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J16" i="56"/>
  <c r="M16" i="56" s="1"/>
  <c r="J17" i="56"/>
  <c r="M17" i="56" s="1"/>
  <c r="D18" i="56"/>
  <c r="D19" i="56" s="1"/>
  <c r="E18" i="56"/>
  <c r="F18" i="56"/>
  <c r="F19" i="56"/>
  <c r="F29" i="56" s="1"/>
  <c r="G18" i="56"/>
  <c r="G19" i="56" s="1"/>
  <c r="G29" i="56" s="1"/>
  <c r="I19" i="56"/>
  <c r="J21" i="56"/>
  <c r="M21" i="56" s="1"/>
  <c r="J22" i="56"/>
  <c r="J23" i="56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7" i="56"/>
  <c r="M37" i="56"/>
  <c r="D38" i="56"/>
  <c r="D40" i="56" s="1"/>
  <c r="E38" i="56"/>
  <c r="J38" i="56" s="1"/>
  <c r="M38" i="56" s="1"/>
  <c r="E39" i="56"/>
  <c r="F39" i="56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F84" i="56" s="1"/>
  <c r="F87" i="56" s="1"/>
  <c r="F89" i="56" s="1"/>
  <c r="F56" i="56" s="1"/>
  <c r="F59" i="56" s="1"/>
  <c r="F65" i="56" s="1"/>
  <c r="G79" i="56"/>
  <c r="G82" i="56" s="1"/>
  <c r="L79" i="56"/>
  <c r="J80" i="56"/>
  <c r="M80" i="56" s="1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G16" i="57" s="1"/>
  <c r="E16" i="57"/>
  <c r="F16" i="57"/>
  <c r="C17" i="57"/>
  <c r="D17" i="57"/>
  <c r="B19" i="57"/>
  <c r="G19" i="57" s="1"/>
  <c r="C19" i="57"/>
  <c r="D19" i="57"/>
  <c r="E19" i="57"/>
  <c r="F19" i="57"/>
  <c r="B22" i="57"/>
  <c r="B23" i="57" s="1"/>
  <c r="C22" i="57"/>
  <c r="C23" i="57"/>
  <c r="D22" i="57"/>
  <c r="D23" i="57" s="1"/>
  <c r="G24" i="57"/>
  <c r="C31" i="57"/>
  <c r="D32" i="57" s="1"/>
  <c r="G35" i="57"/>
  <c r="D37" i="57"/>
  <c r="D41" i="57"/>
  <c r="A3" i="48"/>
  <c r="L38" i="48"/>
  <c r="N38" i="48"/>
  <c r="P38" i="48"/>
  <c r="F39" i="50"/>
  <c r="F27" i="50"/>
  <c r="F11" i="57"/>
  <c r="L60" i="56"/>
  <c r="M60" i="56" s="1"/>
  <c r="G40" i="56"/>
  <c r="G45" i="56" s="1"/>
  <c r="M7" i="56"/>
  <c r="P120" i="50"/>
  <c r="T120" i="50"/>
  <c r="J44" i="56"/>
  <c r="E22" i="57"/>
  <c r="E23" i="57" s="1"/>
  <c r="M23" i="56"/>
  <c r="J10" i="56"/>
  <c r="M10" i="56" s="1"/>
  <c r="M22" i="56"/>
  <c r="L89" i="56"/>
  <c r="L56" i="56" s="1"/>
  <c r="F40" i="56" l="1"/>
  <c r="E40" i="56"/>
  <c r="G84" i="56"/>
  <c r="G87" i="56" s="1"/>
  <c r="G89" i="56" s="1"/>
  <c r="G56" i="56" s="1"/>
  <c r="R27" i="49"/>
  <c r="D45" i="56"/>
  <c r="E79" i="56"/>
  <c r="E82" i="56" s="1"/>
  <c r="E84" i="56" s="1"/>
  <c r="E87" i="56" s="1"/>
  <c r="E89" i="56" s="1"/>
  <c r="E56" i="56" s="1"/>
  <c r="E59" i="56" s="1"/>
  <c r="E65" i="56" s="1"/>
  <c r="E66" i="56" s="1"/>
  <c r="E67" i="56" s="1"/>
  <c r="D84" i="56"/>
  <c r="D87" i="56" s="1"/>
  <c r="D89" i="56" s="1"/>
  <c r="D56" i="56" s="1"/>
  <c r="E19" i="56"/>
  <c r="E29" i="56" s="1"/>
  <c r="G12" i="57"/>
  <c r="G17" i="57"/>
  <c r="H29" i="56"/>
  <c r="T39" i="49"/>
  <c r="V36" i="48"/>
  <c r="T36" i="48" s="1"/>
  <c r="X36" i="48" s="1"/>
  <c r="T22" i="48"/>
  <c r="X22" i="48" s="1"/>
  <c r="J30" i="58"/>
  <c r="J32" i="58" s="1"/>
  <c r="J34" i="58" s="1"/>
  <c r="K12" i="47" s="1"/>
  <c r="K27" i="47" s="1"/>
  <c r="F30" i="58"/>
  <c r="F32" i="58" s="1"/>
  <c r="F34" i="58" s="1"/>
  <c r="F37" i="58" s="1"/>
  <c r="J40" i="50"/>
  <c r="F80" i="50"/>
  <c r="P42" i="49"/>
  <c r="N39" i="49"/>
  <c r="R42" i="49"/>
  <c r="T37" i="49"/>
  <c r="P27" i="49"/>
  <c r="L80" i="50"/>
  <c r="L120" i="50" s="1"/>
  <c r="J80" i="50"/>
  <c r="F40" i="50"/>
  <c r="L40" i="50"/>
  <c r="H40" i="50"/>
  <c r="E45" i="56"/>
  <c r="H64" i="58"/>
  <c r="H77" i="58" s="1"/>
  <c r="H80" i="58" s="1"/>
  <c r="H82" i="58" s="1"/>
  <c r="I97" i="47"/>
  <c r="M26" i="56"/>
  <c r="O26" i="56" s="1"/>
  <c r="J28" i="56"/>
  <c r="J39" i="56"/>
  <c r="M39" i="56" s="1"/>
  <c r="O39" i="56" s="1"/>
  <c r="T24" i="49"/>
  <c r="V24" i="49" s="1"/>
  <c r="Z24" i="49" s="1"/>
  <c r="J76" i="56"/>
  <c r="G14" i="57"/>
  <c r="F45" i="56"/>
  <c r="F66" i="56" s="1"/>
  <c r="F67" i="56" s="1"/>
  <c r="J36" i="56"/>
  <c r="D28" i="56"/>
  <c r="D29" i="56" s="1"/>
  <c r="J18" i="56"/>
  <c r="M47" i="56"/>
  <c r="H80" i="50"/>
  <c r="H120" i="50" s="1"/>
  <c r="C45" i="57"/>
  <c r="M76" i="56"/>
  <c r="O76" i="56" s="1"/>
  <c r="Z29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J40" i="56"/>
  <c r="J45" i="56" s="1"/>
  <c r="M36" i="56"/>
  <c r="G23" i="57"/>
  <c r="G27" i="57" s="1"/>
  <c r="G30" i="57" s="1"/>
  <c r="H66" i="56"/>
  <c r="H67" i="56" s="1"/>
  <c r="D59" i="56"/>
  <c r="D65" i="56" s="1"/>
  <c r="D66" i="56" s="1"/>
  <c r="D67" i="56" s="1"/>
  <c r="M51" i="56"/>
  <c r="T42" i="49" l="1"/>
  <c r="F116" i="50" s="1"/>
  <c r="V39" i="49"/>
  <c r="Z39" i="49" s="1"/>
  <c r="J79" i="56"/>
  <c r="M79" i="56" s="1"/>
  <c r="J56" i="56"/>
  <c r="M56" i="56" s="1"/>
  <c r="M28" i="56"/>
  <c r="M97" i="47"/>
  <c r="V38" i="48"/>
  <c r="K43" i="47"/>
  <c r="K46" i="47" s="1"/>
  <c r="K73" i="47" s="1"/>
  <c r="K75" i="47" s="1"/>
  <c r="K97" i="47" s="1"/>
  <c r="G12" i="47"/>
  <c r="G27" i="47" s="1"/>
  <c r="G43" i="47" s="1"/>
  <c r="G46" i="47" s="1"/>
  <c r="G73" i="47" s="1"/>
  <c r="G75" i="47" s="1"/>
  <c r="G97" i="47" s="1"/>
  <c r="F64" i="58"/>
  <c r="F77" i="58" s="1"/>
  <c r="F80" i="58" s="1"/>
  <c r="F82" i="58" s="1"/>
  <c r="J64" i="58"/>
  <c r="J77" i="58" s="1"/>
  <c r="J80" i="58" s="1"/>
  <c r="J82" i="58" s="1"/>
  <c r="J37" i="58"/>
  <c r="L64" i="58"/>
  <c r="L77" i="58" s="1"/>
  <c r="L80" i="58" s="1"/>
  <c r="L82" i="58" s="1"/>
  <c r="T27" i="49"/>
  <c r="N22" i="49"/>
  <c r="V22" i="49" s="1"/>
  <c r="Z22" i="49" s="1"/>
  <c r="Z27" i="49" s="1"/>
  <c r="L139" i="50"/>
  <c r="H139" i="50"/>
  <c r="J82" i="56"/>
  <c r="J84" i="56" s="1"/>
  <c r="J87" i="56" s="1"/>
  <c r="J89" i="56" s="1"/>
  <c r="M18" i="56"/>
  <c r="J19" i="56"/>
  <c r="J29" i="56" s="1"/>
  <c r="M40" i="56"/>
  <c r="M45" i="56"/>
  <c r="F39" i="58"/>
  <c r="N37" i="49"/>
  <c r="L57" i="56"/>
  <c r="L67" i="56" s="1"/>
  <c r="J58" i="56"/>
  <c r="M84" i="56" l="1"/>
  <c r="M87" i="56" s="1"/>
  <c r="M89" i="56" s="1"/>
  <c r="O79" i="56"/>
  <c r="M82" i="56"/>
  <c r="T20" i="48"/>
  <c r="Y20" i="48" s="1"/>
  <c r="N27" i="49"/>
  <c r="T34" i="48"/>
  <c r="T38" i="48" s="1"/>
  <c r="J115" i="50" s="1"/>
  <c r="J117" i="50" s="1"/>
  <c r="J119" i="50" s="1"/>
  <c r="J120" i="50" s="1"/>
  <c r="J39" i="58"/>
  <c r="AB22" i="49"/>
  <c r="V27" i="49"/>
  <c r="O18" i="56"/>
  <c r="M19" i="56"/>
  <c r="M29" i="56" s="1"/>
  <c r="V37" i="49"/>
  <c r="N42" i="49"/>
  <c r="M58" i="56"/>
  <c r="M59" i="56" s="1"/>
  <c r="M65" i="56" s="1"/>
  <c r="M66" i="56" s="1"/>
  <c r="M67" i="56" s="1"/>
  <c r="J59" i="56"/>
  <c r="J65" i="56" s="1"/>
  <c r="J66" i="56" s="1"/>
  <c r="J67" i="56" s="1"/>
  <c r="X20" i="48" l="1"/>
  <c r="X24" i="48" s="1"/>
  <c r="T24" i="48"/>
  <c r="Y34" i="48"/>
  <c r="X34" i="48"/>
  <c r="X38" i="48" s="1"/>
  <c r="Y38" i="48" s="1"/>
  <c r="Z37" i="49"/>
  <c r="Z42" i="49" s="1"/>
  <c r="V42" i="49"/>
  <c r="F115" i="50"/>
  <c r="F117" i="50" s="1"/>
  <c r="F119" i="50" s="1"/>
  <c r="F120" i="50" s="1"/>
  <c r="J139" i="50"/>
  <c r="R120" i="50"/>
  <c r="F139" i="50" l="1"/>
  <c r="N120" i="50"/>
  <c r="AC42" i="49"/>
  <c r="AB42" i="49"/>
  <c r="AB43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<sst xmlns="http://schemas.openxmlformats.org/spreadsheetml/2006/main" count="617" uniqueCount="389">
  <si>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</si>
  <si>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</si>
  <si>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</si>
  <si>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</si>
  <si>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</si>
  <si>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</si>
  <si>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</si>
  <si>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</si>
  <si>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</si>
  <si>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</si>
  <si>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</si>
  <si>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</si>
  <si>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</si>
  <si>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</si>
  <si>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</si>
  <si>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</si>
  <si>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</si>
  <si>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</si>
  <si>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</si>
  <si>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</si>
  <si>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</si>
  <si>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</si>
  <si>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</si>
  <si>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</si>
  <si>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</si>
  <si>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</si>
  <si>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</si>
  <si>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</si>
  <si>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</si>
  <si>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</si>
  <si>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</si>
  <si>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</si>
  <si>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</si>
  <si>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</si>
  <si>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</si>
  <si>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</si>
  <si>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</si>
  <si>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</si>
  <si>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</si>
  <si>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</si>
  <si>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</si>
  <si>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</si>
  <si>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</si>
  <si>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</si>
  <si>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</si>
  <si>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</si>
  <si>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</si>
  <si>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</si>
  <si>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</si>
  <si>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</si>
  <si>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</si>
  <si>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</si>
  <si>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</si>
  <si>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</si>
  <si>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</si>
  <si>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</si>
  <si>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</si>
  <si>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</si>
  <si>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</si>
  <si>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</si>
  <si>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</si>
  <si>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</si>
  <si>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</si>
  <si>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</si>
  <si>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</si>
  <si>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</si>
  <si>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</si>
  <si>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</si>
  <si>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</si>
  <si>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</si>
  <si>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</si>
  <si>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</si>
  <si>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</si>
  <si>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</si>
  <si>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</si>
  <si>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</si>
  <si>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</si>
  <si>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</si>
  <si>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</si>
  <si>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</si>
  <si>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</si>
  <si>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</si>
  <si>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</si>
  <si>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</si>
  <si>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</si>
  <si>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</si>
  <si>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</si>
  <si>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</si>
  <si>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</si>
  <si>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</si>
  <si>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</si>
  <si>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</si>
  <si>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</si>
  <si>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</si>
  <si>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</si>
  <si>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</si>
  <si>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</si>
  <si>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</si>
  <si>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</si>
  <si>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</si>
  <si>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</si>
  <si>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</si>
  <si>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</si>
  <si>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</si>
  <si>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</si>
  <si>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</si>
  <si>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</si>
  <si>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</si>
  <si>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</si>
  <si>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</si>
  <si>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</si>
  <si>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</si>
  <si>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</si>
  <si>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</si>
  <si>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</si>
  <si>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</si>
  <si>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</si>
  <si>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</si>
  <si>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</si>
  <si>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</si>
  <si>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</si>
  <si>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</si>
  <si>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</si>
  <si>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</si>
  <si>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</si>
  <si>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</si>
  <si>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</si>
  <si>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</si>
  <si>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</si>
  <si>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</si>
  <si>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</si>
  <si>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</si>
  <si>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</si>
  <si>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</si>
  <si>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</si>
  <si>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</si>
  <si>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</si>
  <si>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</si>
  <si>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</si>
  <si>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</si>
  <si>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</si>
  <si>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</si>
  <si>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</si>
  <si>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</si>
  <si>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</si>
  <si>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</si>
  <si>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</si>
  <si>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</si>
  <si>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</si>
  <si>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</si>
  <si>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</si>
  <si>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</si>
  <si>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</si>
  <si>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</si>
  <si>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</si>
  <si>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</si>
  <si>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</si>
  <si>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</si>
  <si>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</si>
  <si>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</si>
  <si>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</si>
  <si>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</si>
  <si>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</si>
  <si>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</si>
  <si>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</si>
  <si>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</si>
  <si>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</si>
  <si>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</si>
  <si>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</si>
  <si>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</si>
  <si>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</si>
  <si>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</si>
  <si>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</si>
  <si>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</si>
  <si>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</si>
  <si>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</si>
  <si>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</si>
  <si>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</si>
  <si>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</si>
  <si>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</si>
  <si>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</si>
  <si>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</si>
  <si>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</si>
  <si>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</si>
  <si>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</si>
  <si>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</si>
  <si>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</si>
  <si>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</si>
  <si>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</si>
  <si>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</si>
  <si>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</si>
  <si>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</si>
  <si>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</si>
  <si>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</si>
  <si>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</si>
  <si>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</si>
  <si>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</si>
  <si>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</si>
  <si>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</si>
  <si>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</si>
  <si>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</si>
  <si>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</si>
  <si>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</si>
  <si>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</si>
  <si>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</si>
  <si>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</si>
  <si>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</si>
  <si>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</si>
  <si>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</si>
  <si>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</si>
  <si>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</si>
  <si>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</si>
  <si>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</si>
  <si>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</si>
  <si>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</si>
  <si>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</si>
  <si>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</si>
  <si>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</si>
  <si>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</si>
  <si>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</si>
  <si>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</si>
  <si>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</si>
  <si>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</si>
  <si>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</si>
  <si>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</si>
  <si>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</si>
  <si>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</si>
  <si>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</si>
  <si>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</si>
  <si>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</si>
  <si>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</si>
  <si>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</si>
  <si>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</si>
  <si>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</si>
  <si>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</si>
  <si>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</si>
  <si>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</si>
  <si>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</si>
  <si>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</si>
  <si>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</si>
  <si>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</si>
  <si>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</si>
  <si>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</si>
  <si>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</si>
  <si>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</si>
  <si>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</si>
  <si>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</si>
  <si>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</si>
  <si>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</si>
  <si>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</si>
  <si>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</si>
  <si>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</si>
  <si>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</si>
  <si>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</si>
  <si>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</si>
  <si>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</si>
  <si>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</si>
  <si>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</si>
  <si>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</si>
  <si>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</si>
  <si>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</si>
  <si>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</si>
  <si>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</si>
  <si>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</si>
  <si>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</si>
  <si>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</si>
  <si>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</si>
  <si>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</si>
  <si>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</si>
  <si>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</si>
  <si>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</si>
  <si>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</si>
  <si>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</si>
  <si>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</si>
  <si>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</si>
  <si>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</si>
  <si>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</si>
  <si>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</si>
  <si>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</si>
  <si>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</si>
  <si>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</si>
  <si>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</si>
  <si>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</si>
  <si>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</si>
  <si>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</si>
  <si>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</si>
  <si>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</si>
  <si>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</si>
  <si>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</si>
  <si>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</si>
  <si>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</si>
  <si>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</si>
  <si>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</si>
  <si>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</si>
  <si>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</si>
  <si>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</si>
  <si>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</si>
  <si>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 xml:space="preserve">   Total comprehensive income (loss) for the period</t>
  </si>
  <si>
    <t>The accompanying interim notes to financial statements are an integral part of these interim financial statements.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</si>
  <si>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</si>
  <si>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</si>
  <si>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</si>
  <si>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</si>
  <si>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</si>
  <si>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</si>
  <si>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</si>
  <si>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</si>
  <si>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</si>
  <si>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</si>
  <si>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</si>
  <si>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</si>
  <si>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Share subscriptions received in advance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</si>
  <si>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</si>
  <si>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</si>
  <si>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</si>
  <si>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</si>
  <si>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</si>
  <si>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</si>
  <si>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</si>
  <si>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</si>
  <si>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</si>
  <si>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</si>
  <si>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</si>
  <si>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</si>
  <si>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</si>
  <si>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</si>
  <si>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</si>
  <si>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</si>
  <si>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</si>
  <si>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</si>
  <si>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loss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</si>
  <si>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</si>
  <si>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</si>
  <si>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</si>
  <si>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For the six-month period ended June 30</t>
  </si>
  <si>
    <t>For the three-month period ended June 30</t>
  </si>
  <si>
    <t>Reversal of allowance for doubtful accounts</t>
  </si>
  <si>
    <t>Loss on reduced value of inventory</t>
  </si>
  <si>
    <t>Loans from</t>
  </si>
  <si>
    <t>Loans to</t>
  </si>
  <si>
    <t>Income from digital assets inventory - net</t>
  </si>
  <si>
    <t>Gain on sales of other current financial assets</t>
  </si>
  <si>
    <t>OPERATING AND INVESTMENT  ACTIVITIES NOT AFFECTING CASH</t>
  </si>
  <si>
    <t>Decrease in Trade accounts receivable - related parties</t>
  </si>
  <si>
    <t>Increase in Loan to non-related parties</t>
  </si>
  <si>
    <t>Beginning balance as at January 1, 2022</t>
  </si>
  <si>
    <t>Ending balance as at  June 30, 2022</t>
  </si>
  <si>
    <t xml:space="preserve">   Ordinary shares increased - stock dividend</t>
  </si>
  <si>
    <t>Ending balance as at June 30, 2022</t>
  </si>
  <si>
    <t xml:space="preserve">  Ordinary shares increased - stock dividend</t>
  </si>
  <si>
    <t>8.4</t>
  </si>
  <si>
    <t>7 , 11</t>
  </si>
  <si>
    <t>- Ordinary share 13,098,802,641  shares in year 2022</t>
  </si>
  <si>
    <t>9</t>
  </si>
  <si>
    <t>Impairment on investment in subsidiaries</t>
  </si>
  <si>
    <t>Dividends paid to non-controlling interests</t>
  </si>
  <si>
    <t>Ordinary shares increased - paid stock dividend</t>
  </si>
  <si>
    <t>6</t>
  </si>
  <si>
    <t>AS AT JUNE 30, 2023</t>
  </si>
  <si>
    <t>June 30, 2023</t>
  </si>
  <si>
    <t>December 31, 2022</t>
  </si>
  <si>
    <t>Right of used assets - net</t>
  </si>
  <si>
    <t>Current portion of lease liabilities</t>
  </si>
  <si>
    <t>Lease liabilities - net</t>
  </si>
  <si>
    <t>Account receivables - Other</t>
  </si>
  <si>
    <t>Non-related companies</t>
  </si>
  <si>
    <t xml:space="preserve">Related companies </t>
  </si>
  <si>
    <t>Digital asset inventory - net</t>
  </si>
  <si>
    <t>Value added tax - net</t>
  </si>
  <si>
    <t>Property and equipment - net</t>
  </si>
  <si>
    <t>- Ordinary share 13,156,835,895  shares in year 2023</t>
  </si>
  <si>
    <t xml:space="preserve">- Ordinary share 9,315,208,558  shares </t>
  </si>
  <si>
    <t>FOR  THE SIX-MONTH PERIOD ENDED JUNE 30, 2023</t>
  </si>
  <si>
    <t>FOR  THE THREE-MONTH PERIOD ENDED JUNE 30, 2023</t>
  </si>
  <si>
    <t>Reduced value of inventory recovery</t>
  </si>
  <si>
    <t>Beginning balance as at January 1, 2023</t>
  </si>
  <si>
    <t>Ending balance as at June 30, 2023</t>
  </si>
  <si>
    <t>Ending balance as at  June 30, 2023</t>
  </si>
  <si>
    <t>12,13,14</t>
  </si>
  <si>
    <t>Allowance for doubtful account (reversal)</t>
  </si>
  <si>
    <t>Loss (gain) on reduced value of inventory (reversal)</t>
  </si>
  <si>
    <t>7</t>
  </si>
  <si>
    <t>24</t>
  </si>
  <si>
    <t>13</t>
  </si>
  <si>
    <t>2.3</t>
  </si>
  <si>
    <t>Increase (Decrease) Digatal asset inventory</t>
  </si>
  <si>
    <t>Gain on sales of other non-current financial assets</t>
  </si>
  <si>
    <t>Loss from digital assets inventory - net</t>
  </si>
  <si>
    <t>Realized on sales of other current financial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</si>
</sst>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69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Alignment="1">
      <alignment horizontal="center"/>
    </xf>
    <xf numFmtId="0" fontId="15" fillId="0" borderId="0" xfId="0" applyFont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8" fontId="3" fillId="0" borderId="0" xfId="0" applyNumberFormat="1" applyFont="1"/>
    <xf numFmtId="166" fontId="17" fillId="0" borderId="0" xfId="0" applyNumberFormat="1" applyFont="1" applyAlignment="1">
      <alignment horizontal="center"/>
    </xf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/>
    <xf numFmtId="167" fontId="17" fillId="0" borderId="0" xfId="0" applyNumberFormat="1" applyFont="1"/>
    <xf numFmtId="0" fontId="23" fillId="0" borderId="0" xfId="0" applyFont="1"/>
    <xf numFmtId="43" fontId="18" fillId="0" borderId="0" xfId="1" applyFont="1" applyFill="1" applyBorder="1"/>
    <xf numFmtId="167" fontId="22" fillId="0" borderId="0" xfId="0" applyNumberFormat="1" applyFont="1"/>
    <xf numFmtId="166" fontId="18" fillId="0" borderId="0" xfId="0" applyNumberFormat="1" applyFont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0" fontId="2" fillId="0" borderId="3" xfId="0" quotePrefix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7" fontId="7" fillId="0" borderId="0" xfId="0" applyNumberFormat="1" applyFont="1"/>
    <xf numFmtId="166" fontId="3" fillId="0" borderId="13" xfId="0" applyNumberFormat="1" applyFont="1" applyBorder="1" applyAlignment="1">
      <alignment horizontal="center"/>
    </xf>
    <xf numFmtId="174" fontId="16" fillId="0" borderId="0" xfId="1" applyNumberFormat="1" applyFont="1" applyFill="1" applyBorder="1"/>
    <xf numFmtId="0" fontId="25" fillId="0" borderId="5" xfId="0" applyFont="1" applyBorder="1" applyAlignment="1">
      <alignment horizontal="center"/>
    </xf>
    <xf numFmtId="166" fontId="3" fillId="0" borderId="13" xfId="0" applyNumberFormat="1" applyFont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2" fillId="0" borderId="0" xfId="0" applyNumberFormat="1" applyFont="1"/>
    <xf numFmtId="43" fontId="3" fillId="0" borderId="0" xfId="0" applyNumberFormat="1" applyFont="1"/>
    <xf numFmtId="0" fontId="26" fillId="0" borderId="0" xfId="0" applyFont="1" applyAlignment="1">
      <alignment horizontal="center"/>
    </xf>
    <xf numFmtId="43" fontId="3" fillId="0" borderId="5" xfId="1" applyFont="1" applyFill="1" applyBorder="1"/>
    <xf numFmtId="43" fontId="3" fillId="0" borderId="0" xfId="0" applyNumberFormat="1" applyFont="1" applyAlignment="1">
      <alignment horizontal="right"/>
    </xf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18" fillId="0" borderId="0" xfId="0" applyNumberFormat="1" applyFont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0" applyNumberFormat="1" applyFont="1" applyBorder="1" applyAlignment="1">
      <alignment horizontal="right"/>
    </xf>
    <xf numFmtId="43" fontId="2" fillId="0" borderId="0" xfId="0" applyNumberFormat="1" applyFont="1" applyAlignment="1">
      <alignment horizontal="center"/>
    </xf>
    <xf numFmtId="43" fontId="3" fillId="0" borderId="5" xfId="1" applyFont="1" applyFill="1" applyBorder="1" applyAlignment="1">
      <alignment horizontal="right"/>
    </xf>
    <xf numFmtId="43" fontId="16" fillId="0" borderId="0" xfId="1" applyFont="1" applyFill="1" applyBorder="1"/>
    <xf numFmtId="43" fontId="16" fillId="0" borderId="0" xfId="1" applyFont="1" applyFill="1"/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0" fontId="2" fillId="0" borderId="0" xfId="0" quotePrefix="1" applyFont="1" applyAlignment="1">
      <alignment horizontal="center"/>
    </xf>
    <xf numFmtId="165" fontId="3" fillId="0" borderId="15" xfId="1" applyNumberFormat="1" applyFont="1" applyFill="1" applyBorder="1"/>
    <xf numFmtId="0" fontId="15" fillId="0" borderId="5" xfId="0" applyFont="1" applyBorder="1" applyAlignment="1">
      <alignment horizontal="center"/>
    </xf>
    <xf numFmtId="43" fontId="3" fillId="0" borderId="14" xfId="0" applyNumberFormat="1" applyFont="1" applyBorder="1" applyAlignment="1">
      <alignment horizontal="right"/>
    </xf>
    <xf numFmtId="0" fontId="18" fillId="0" borderId="5" xfId="0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166" fontId="25" fillId="0" borderId="0" xfId="0" applyNumberFormat="1" applyFont="1"/>
    <xf numFmtId="166" fontId="28" fillId="0" borderId="0" xfId="0" applyNumberFormat="1" applyFont="1"/>
    <xf numFmtId="166" fontId="16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/>
    <xf numFmtId="166" fontId="17" fillId="0" borderId="0" xfId="0" applyNumberFormat="1" applyFont="1" applyAlignment="1">
      <alignment horizontal="right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76" fontId="3" fillId="0" borderId="14" xfId="1" applyNumberFormat="1" applyFont="1" applyFill="1" applyBorder="1"/>
    <xf numFmtId="166" fontId="1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3" xfId="0" applyNumberFormat="1" applyFont="1" applyBorder="1" applyAlignment="1">
      <alignment horizontal="center"/>
    </xf>
    <xf numFmtId="166" fontId="17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6" fontId="15" fillId="0" borderId="5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166" fontId="17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15" fillId="0" borderId="0" xfId="0" applyFont="1" applyFill="1"/>
    <xf numFmtId="166" fontId="2" fillId="0" borderId="3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8" fontId="3" fillId="0" borderId="0" xfId="0" applyNumberFormat="1" applyFont="1" applyFill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0" xfId="0" applyNumberFormat="1" applyFont="1" applyFill="1"/>
    <xf numFmtId="43" fontId="3" fillId="0" borderId="0" xfId="0" applyNumberFormat="1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167" fontId="3" fillId="0" borderId="0" xfId="0" applyNumberFormat="1" applyFont="1" applyFill="1"/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8" fontId="3" fillId="0" borderId="0" xfId="0" applyNumberFormat="1" applyFont="1" applyFill="1" applyAlignment="1">
      <alignment horizontal="center"/>
    </xf>
    <xf numFmtId="43" fontId="3" fillId="0" borderId="5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43" fontId="3" fillId="0" borderId="4" xfId="0" applyNumberFormat="1" applyFont="1" applyFill="1" applyBorder="1" applyAlignment="1">
      <alignment horizontal="right"/>
    </xf>
    <xf numFmtId="166" fontId="25" fillId="0" borderId="0" xfId="0" applyNumberFormat="1" applyFont="1" applyFill="1"/>
    <xf numFmtId="166" fontId="27" fillId="0" borderId="0" xfId="0" applyNumberFormat="1" applyFont="1" applyFill="1"/>
    <xf numFmtId="2" fontId="3" fillId="0" borderId="0" xfId="0" applyNumberFormat="1" applyFont="1" applyFill="1" applyAlignment="1">
      <alignment horizontal="center"/>
    </xf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5" fontId="2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9" fillId="0" borderId="0" xfId="0" applyFont="1" applyFill="1"/>
    <xf numFmtId="0" fontId="7" fillId="0" borderId="0" xfId="0" applyFont="1" applyFill="1"/>
    <xf numFmtId="0" fontId="16" fillId="0" borderId="0" xfId="0" applyFont="1" applyFill="1" applyAlignment="1">
      <alignment horizontal="center"/>
    </xf>
    <xf numFmtId="43" fontId="16" fillId="0" borderId="0" xfId="0" applyNumberFormat="1" applyFont="1" applyFill="1"/>
    <xf numFmtId="167" fontId="16" fillId="0" borderId="0" xfId="0" applyNumberFormat="1" applyFont="1" applyFill="1"/>
    <xf numFmtId="166" fontId="16" fillId="0" borderId="0" xfId="0" applyNumberFormat="1" applyFont="1" applyFill="1"/>
    <xf numFmtId="167" fontId="17" fillId="0" borderId="0" xfId="0" applyNumberFormat="1" applyFont="1" applyFill="1"/>
    <xf numFmtId="165" fontId="3" fillId="0" borderId="0" xfId="0" applyNumberFormat="1" applyFont="1" applyFill="1"/>
    <xf numFmtId="166" fontId="17" fillId="0" borderId="0" xfId="0" applyNumberFormat="1" applyFont="1" applyFill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V139"/>
  <sheetViews>
    <sheetView tabSelected="1" view="pageBreakPreview" zoomScaleNormal="100" zoomScaleSheetLayoutView="100" workbookViewId="0">
      <selection activeCell="C7" sqref="C7"/>
    </sheetView>
  </sheetViews>
  <sheetFormatPr defaultColWidth="9.140625" defaultRowHeight="18" x14ac:dyDescent="0.4"/>
  <cols>
    <col min="1" max="2" width="2.7109375" style="3" customWidth="1"/>
    <col min="3" max="3" width="33.85546875" style="3" customWidth="1"/>
    <col min="4" max="4" width="5.42578125" style="6" customWidth="1"/>
    <col min="5" max="5" width="0.85546875" style="6" customWidth="1"/>
    <col min="6" max="6" width="12.7109375" style="6" customWidth="1"/>
    <col min="7" max="7" width="0.71093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7109375" style="5" customWidth="1"/>
    <col min="12" max="12" width="13.5703125" style="5" customWidth="1"/>
    <col min="13" max="13" width="2.7109375" style="3" customWidth="1"/>
    <col min="14" max="14" width="15.7109375" style="3" hidden="1" customWidth="1"/>
    <col min="15" max="15" width="2.7109375" style="3" hidden="1" customWidth="1"/>
    <col min="16" max="16" width="13.85546875" style="3" hidden="1" customWidth="1"/>
    <col min="17" max="17" width="2.7109375" style="3" hidden="1" customWidth="1"/>
    <col min="18" max="18" width="14.5703125" style="3" hidden="1" customWidth="1"/>
    <col min="19" max="19" width="5" style="3" hidden="1" customWidth="1"/>
    <col min="20" max="20" width="0" style="3" hidden="1" customWidth="1"/>
    <col min="21" max="16384" width="9.140625" style="3"/>
  </cols>
  <sheetData>
    <row r="3" spans="1:13" x14ac:dyDescent="0.4">
      <c r="A3" s="209" t="s">
        <v>131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6"/>
    </row>
    <row r="4" spans="1:13" x14ac:dyDescent="0.4">
      <c r="A4" s="206" t="s">
        <v>230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</row>
    <row r="5" spans="1:13" s="27" customFormat="1" x14ac:dyDescent="0.4">
      <c r="A5" s="206" t="s">
        <v>358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</row>
    <row r="6" spans="1:13" x14ac:dyDescent="0.4">
      <c r="A6" s="13"/>
      <c r="B6" s="13"/>
      <c r="C6" s="13"/>
      <c r="F6" s="207" t="s">
        <v>132</v>
      </c>
      <c r="G6" s="207"/>
      <c r="H6" s="207"/>
      <c r="I6" s="207"/>
      <c r="J6" s="207"/>
      <c r="K6" s="207"/>
      <c r="L6" s="207"/>
    </row>
    <row r="7" spans="1:13" ht="18.75" x14ac:dyDescent="0.4">
      <c r="A7" s="9"/>
      <c r="B7" s="9"/>
      <c r="C7" s="9"/>
      <c r="F7" s="204" t="s">
        <v>198</v>
      </c>
      <c r="G7" s="204"/>
      <c r="H7" s="204"/>
      <c r="I7" s="81"/>
      <c r="J7" s="204" t="s">
        <v>199</v>
      </c>
      <c r="K7" s="204"/>
      <c r="L7" s="204"/>
    </row>
    <row r="8" spans="1:13" x14ac:dyDescent="0.4">
      <c r="A8" s="9"/>
      <c r="B8" s="9"/>
      <c r="C8" s="9"/>
      <c r="D8" s="129" t="s">
        <v>133</v>
      </c>
      <c r="F8" s="150" t="s">
        <v>359</v>
      </c>
      <c r="G8" s="186"/>
      <c r="H8" s="150" t="s">
        <v>360</v>
      </c>
      <c r="J8" s="130" t="str">
        <f>F8</f>
        <v>June 30, 2023</v>
      </c>
      <c r="K8" s="6"/>
      <c r="L8" s="130" t="str">
        <f>H8</f>
        <v>December 31, 2022</v>
      </c>
    </row>
    <row r="9" spans="1:13" s="37" customFormat="1" ht="16.5" customHeight="1" x14ac:dyDescent="0.4">
      <c r="A9" s="6"/>
      <c r="B9" s="6"/>
      <c r="C9" s="6"/>
      <c r="D9" s="6"/>
      <c r="E9" s="6"/>
      <c r="F9" s="8" t="s">
        <v>306</v>
      </c>
      <c r="G9" s="8"/>
      <c r="H9" s="34" t="s">
        <v>307</v>
      </c>
      <c r="I9" s="15"/>
      <c r="J9" s="8" t="s">
        <v>306</v>
      </c>
      <c r="K9" s="8"/>
      <c r="L9" s="34" t="s">
        <v>307</v>
      </c>
    </row>
    <row r="10" spans="1:13" s="37" customFormat="1" ht="16.5" customHeight="1" x14ac:dyDescent="0.4">
      <c r="A10" s="6"/>
      <c r="B10" s="6"/>
      <c r="C10" s="6"/>
      <c r="D10" s="6"/>
      <c r="E10" s="6"/>
      <c r="F10" s="20" t="s">
        <v>308</v>
      </c>
      <c r="G10" s="20"/>
      <c r="H10" s="20"/>
      <c r="I10" s="9"/>
      <c r="J10" s="20" t="s">
        <v>308</v>
      </c>
      <c r="K10" s="20"/>
      <c r="L10" s="20"/>
    </row>
    <row r="11" spans="1:13" ht="18" customHeight="1" x14ac:dyDescent="0.4">
      <c r="A11" s="208" t="s">
        <v>136</v>
      </c>
      <c r="B11" s="208"/>
      <c r="C11" s="208"/>
      <c r="D11" s="13"/>
      <c r="E11" s="13"/>
      <c r="F11" s="20"/>
      <c r="G11" s="20"/>
      <c r="H11" s="20"/>
      <c r="J11" s="3"/>
      <c r="K11" s="3"/>
      <c r="L11" s="3"/>
    </row>
    <row r="12" spans="1:13" x14ac:dyDescent="0.4">
      <c r="A12" s="9" t="s">
        <v>134</v>
      </c>
      <c r="B12" s="9"/>
      <c r="C12" s="9"/>
      <c r="D12" s="13"/>
      <c r="E12" s="13"/>
      <c r="F12" s="8"/>
      <c r="G12" s="8"/>
      <c r="H12" s="8"/>
      <c r="I12" s="9"/>
      <c r="J12" s="11"/>
      <c r="K12" s="11"/>
      <c r="L12" s="11"/>
    </row>
    <row r="13" spans="1:13" x14ac:dyDescent="0.4">
      <c r="A13" s="9"/>
      <c r="B13" s="9" t="s">
        <v>135</v>
      </c>
      <c r="C13" s="9"/>
      <c r="D13" s="13">
        <v>3</v>
      </c>
      <c r="E13" s="13"/>
      <c r="F13" s="171">
        <v>273578058.38999999</v>
      </c>
      <c r="G13" s="171"/>
      <c r="H13" s="171">
        <v>193802583.52000001</v>
      </c>
      <c r="I13" s="165"/>
      <c r="J13" s="14">
        <v>164234871.12</v>
      </c>
      <c r="K13" s="14"/>
      <c r="L13" s="14">
        <v>58130055.630000003</v>
      </c>
    </row>
    <row r="14" spans="1:13" x14ac:dyDescent="0.4">
      <c r="A14" s="9"/>
      <c r="B14" s="9" t="s">
        <v>207</v>
      </c>
      <c r="C14" s="9"/>
      <c r="D14" s="13"/>
      <c r="E14" s="13"/>
      <c r="F14" s="171"/>
      <c r="G14" s="171"/>
      <c r="H14" s="171"/>
      <c r="I14" s="165"/>
      <c r="J14" s="14"/>
      <c r="K14" s="14"/>
      <c r="L14" s="14"/>
    </row>
    <row r="15" spans="1:13" x14ac:dyDescent="0.4">
      <c r="A15" s="9"/>
      <c r="B15" s="9"/>
      <c r="C15" s="9" t="s">
        <v>365</v>
      </c>
      <c r="D15" s="13">
        <v>4</v>
      </c>
      <c r="E15" s="13"/>
      <c r="F15" s="171">
        <v>92007097.409999996</v>
      </c>
      <c r="G15" s="171"/>
      <c r="H15" s="171">
        <v>128829588.42</v>
      </c>
      <c r="I15" s="165"/>
      <c r="J15" s="14">
        <v>46853292.859999999</v>
      </c>
      <c r="K15" s="14"/>
      <c r="L15" s="14">
        <v>64178292.859999999</v>
      </c>
    </row>
    <row r="16" spans="1:13" x14ac:dyDescent="0.4">
      <c r="A16" s="9"/>
      <c r="B16" s="9"/>
      <c r="C16" s="9" t="s">
        <v>366</v>
      </c>
      <c r="D16" s="13">
        <v>2.2000000000000002</v>
      </c>
      <c r="E16" s="13"/>
      <c r="F16" s="171">
        <v>73981.11</v>
      </c>
      <c r="G16" s="171"/>
      <c r="H16" s="171">
        <v>0</v>
      </c>
      <c r="I16" s="165"/>
      <c r="J16" s="14">
        <v>8075242.4699999997</v>
      </c>
      <c r="K16" s="14"/>
      <c r="L16" s="14">
        <v>5875000</v>
      </c>
    </row>
    <row r="17" spans="1:22" x14ac:dyDescent="0.4">
      <c r="A17" s="9"/>
      <c r="B17" s="9" t="s">
        <v>364</v>
      </c>
      <c r="C17" s="9"/>
      <c r="D17" s="13"/>
      <c r="E17" s="13"/>
      <c r="F17" s="171"/>
      <c r="G17" s="171"/>
      <c r="H17" s="171"/>
      <c r="I17" s="165"/>
      <c r="J17" s="14"/>
      <c r="K17" s="14"/>
      <c r="L17" s="14"/>
    </row>
    <row r="18" spans="1:22" x14ac:dyDescent="0.4">
      <c r="A18" s="9"/>
      <c r="B18" s="9"/>
      <c r="C18" s="9" t="s">
        <v>365</v>
      </c>
      <c r="D18" s="13">
        <v>5</v>
      </c>
      <c r="E18" s="13"/>
      <c r="F18" s="171">
        <v>259798964.22</v>
      </c>
      <c r="G18" s="171"/>
      <c r="H18" s="171">
        <v>302053612.75</v>
      </c>
      <c r="I18" s="165"/>
      <c r="J18" s="14">
        <v>33892997.950000003</v>
      </c>
      <c r="K18" s="14"/>
      <c r="L18" s="14">
        <v>5218679.47</v>
      </c>
    </row>
    <row r="19" spans="1:22" x14ac:dyDescent="0.4">
      <c r="A19" s="9"/>
      <c r="B19" s="9" t="s">
        <v>367</v>
      </c>
      <c r="C19" s="9"/>
      <c r="D19" s="13">
        <v>6</v>
      </c>
      <c r="E19" s="13"/>
      <c r="F19" s="171">
        <v>618162656.30999994</v>
      </c>
      <c r="G19" s="171"/>
      <c r="H19" s="171">
        <v>389873419.69</v>
      </c>
      <c r="I19" s="165"/>
      <c r="J19" s="14">
        <v>372791.75</v>
      </c>
      <c r="K19" s="14"/>
      <c r="L19" s="14">
        <v>291640.82</v>
      </c>
    </row>
    <row r="20" spans="1:22" x14ac:dyDescent="0.4">
      <c r="A20" s="9"/>
      <c r="B20" s="9" t="s">
        <v>339</v>
      </c>
      <c r="C20" s="9"/>
      <c r="D20" s="13"/>
      <c r="E20" s="13"/>
      <c r="F20" s="171"/>
      <c r="G20" s="171"/>
      <c r="H20" s="171"/>
      <c r="I20" s="14"/>
      <c r="J20" s="14"/>
      <c r="K20" s="14"/>
      <c r="L20" s="14"/>
    </row>
    <row r="21" spans="1:22" x14ac:dyDescent="0.4">
      <c r="A21" s="9"/>
      <c r="B21" s="9"/>
      <c r="C21" s="9" t="s">
        <v>365</v>
      </c>
      <c r="D21" s="13">
        <v>7</v>
      </c>
      <c r="E21" s="13"/>
      <c r="F21" s="171">
        <v>243000000</v>
      </c>
      <c r="G21" s="171"/>
      <c r="H21" s="171">
        <v>173000000</v>
      </c>
      <c r="I21" s="14"/>
      <c r="J21" s="171">
        <v>243000000</v>
      </c>
      <c r="K21" s="171"/>
      <c r="L21" s="171">
        <v>173000000</v>
      </c>
      <c r="V21" s="9"/>
    </row>
    <row r="22" spans="1:22" x14ac:dyDescent="0.4">
      <c r="A22" s="9"/>
      <c r="B22" s="9"/>
      <c r="C22" s="9" t="s">
        <v>366</v>
      </c>
      <c r="D22" s="13">
        <v>2.2999999999999998</v>
      </c>
      <c r="E22" s="13"/>
      <c r="F22" s="171">
        <v>0</v>
      </c>
      <c r="G22" s="171"/>
      <c r="H22" s="171">
        <v>0</v>
      </c>
      <c r="I22" s="14"/>
      <c r="J22" s="168">
        <v>1910885000</v>
      </c>
      <c r="K22" s="168"/>
      <c r="L22" s="168">
        <v>2005852850.3</v>
      </c>
    </row>
    <row r="23" spans="1:22" x14ac:dyDescent="0.4">
      <c r="A23" s="9"/>
      <c r="B23" s="9" t="s">
        <v>320</v>
      </c>
      <c r="C23" s="9"/>
      <c r="D23" s="13">
        <v>8</v>
      </c>
      <c r="E23" s="13"/>
      <c r="F23" s="171">
        <v>897444149.28999996</v>
      </c>
      <c r="G23" s="171"/>
      <c r="H23" s="171">
        <v>1135405645.74</v>
      </c>
      <c r="I23" s="165"/>
      <c r="J23" s="14">
        <v>55266735.560000002</v>
      </c>
      <c r="K23" s="14"/>
      <c r="L23" s="14">
        <v>108176650.72</v>
      </c>
    </row>
    <row r="24" spans="1:22" x14ac:dyDescent="0.4">
      <c r="A24" s="9"/>
      <c r="B24" s="9" t="s">
        <v>184</v>
      </c>
      <c r="C24" s="9"/>
      <c r="D24" s="13"/>
      <c r="E24" s="13"/>
      <c r="F24" s="171"/>
      <c r="G24" s="171"/>
      <c r="H24" s="171"/>
      <c r="I24" s="165"/>
      <c r="J24" s="14"/>
      <c r="K24" s="14"/>
      <c r="L24" s="14"/>
    </row>
    <row r="25" spans="1:22" x14ac:dyDescent="0.4">
      <c r="A25" s="9"/>
      <c r="B25" s="9"/>
      <c r="C25" s="9" t="s">
        <v>368</v>
      </c>
      <c r="D25" s="13"/>
      <c r="E25" s="13"/>
      <c r="F25" s="171">
        <v>21232896.48</v>
      </c>
      <c r="G25" s="171"/>
      <c r="H25" s="171">
        <v>23349822.59</v>
      </c>
      <c r="I25" s="165"/>
      <c r="J25" s="14">
        <v>15837422.810000001</v>
      </c>
      <c r="K25" s="14"/>
      <c r="L25" s="14">
        <v>17967750.239999998</v>
      </c>
    </row>
    <row r="26" spans="1:22" x14ac:dyDescent="0.4">
      <c r="A26" s="9"/>
      <c r="B26" s="9"/>
      <c r="C26" s="9" t="s">
        <v>140</v>
      </c>
      <c r="D26" s="13"/>
      <c r="E26" s="13"/>
      <c r="F26" s="168">
        <v>1492735.13</v>
      </c>
      <c r="G26" s="168"/>
      <c r="H26" s="168">
        <v>1424563.16</v>
      </c>
      <c r="I26" s="165"/>
      <c r="J26" s="14">
        <v>843199.25</v>
      </c>
      <c r="K26" s="14"/>
      <c r="L26" s="14">
        <v>505747.6</v>
      </c>
    </row>
    <row r="27" spans="1:22" x14ac:dyDescent="0.4">
      <c r="A27" s="9"/>
      <c r="B27" s="9"/>
      <c r="C27" s="9" t="s">
        <v>142</v>
      </c>
      <c r="D27" s="13"/>
      <c r="E27" s="13"/>
      <c r="F27" s="170">
        <f>SUM(F13:F26)</f>
        <v>2406790538.3400002</v>
      </c>
      <c r="G27" s="22"/>
      <c r="H27" s="170">
        <f>SUM(H13:H26)</f>
        <v>2347739235.8699999</v>
      </c>
      <c r="I27" s="165"/>
      <c r="J27" s="170">
        <f>SUM(J13:J26)</f>
        <v>2479261553.77</v>
      </c>
      <c r="K27" s="22"/>
      <c r="L27" s="170">
        <f>SUM(L13:L26)</f>
        <v>2439196667.6399994</v>
      </c>
    </row>
    <row r="28" spans="1:22" x14ac:dyDescent="0.4">
      <c r="A28" s="9"/>
      <c r="B28" s="9"/>
      <c r="C28" s="9"/>
      <c r="D28" s="13"/>
      <c r="E28" s="13"/>
      <c r="F28" s="168"/>
      <c r="G28" s="168"/>
      <c r="H28" s="168"/>
      <c r="I28" s="165"/>
      <c r="J28" s="14"/>
      <c r="K28" s="14"/>
      <c r="L28" s="14"/>
    </row>
    <row r="29" spans="1:22" x14ac:dyDescent="0.4">
      <c r="A29" s="9" t="s">
        <v>138</v>
      </c>
      <c r="B29" s="9"/>
      <c r="C29" s="9"/>
      <c r="D29" s="13"/>
      <c r="E29" s="13"/>
      <c r="F29" s="168"/>
      <c r="G29" s="168"/>
      <c r="H29" s="168"/>
      <c r="I29" s="165"/>
      <c r="J29" s="14"/>
      <c r="K29" s="14"/>
      <c r="L29" s="14"/>
    </row>
    <row r="30" spans="1:22" hidden="1" x14ac:dyDescent="0.4">
      <c r="A30" s="9"/>
      <c r="B30" s="9" t="s">
        <v>203</v>
      </c>
      <c r="C30" s="9"/>
      <c r="D30" s="13"/>
      <c r="E30" s="13"/>
      <c r="F30" s="168"/>
      <c r="G30" s="168"/>
      <c r="H30" s="168">
        <v>0</v>
      </c>
      <c r="I30" s="165"/>
      <c r="J30" s="168"/>
      <c r="K30" s="168"/>
      <c r="L30" s="168">
        <v>0</v>
      </c>
    </row>
    <row r="31" spans="1:22" x14ac:dyDescent="0.4">
      <c r="A31" s="9"/>
      <c r="B31" s="131" t="s">
        <v>303</v>
      </c>
      <c r="C31" s="9"/>
      <c r="D31" s="13">
        <v>9</v>
      </c>
      <c r="E31" s="13"/>
      <c r="F31" s="171">
        <v>0</v>
      </c>
      <c r="G31" s="171"/>
      <c r="H31" s="171">
        <v>0</v>
      </c>
      <c r="I31" s="165"/>
      <c r="J31" s="14">
        <v>221044600</v>
      </c>
      <c r="K31" s="14"/>
      <c r="L31" s="14">
        <v>221044600</v>
      </c>
    </row>
    <row r="32" spans="1:22" x14ac:dyDescent="0.4">
      <c r="A32" s="9"/>
      <c r="B32" s="131" t="s">
        <v>321</v>
      </c>
      <c r="C32" s="9"/>
      <c r="D32" s="13">
        <v>10</v>
      </c>
      <c r="E32" s="13"/>
      <c r="F32" s="171">
        <v>285000603.72000003</v>
      </c>
      <c r="G32" s="171"/>
      <c r="H32" s="171">
        <v>205000586.03</v>
      </c>
      <c r="I32" s="165"/>
      <c r="J32" s="14">
        <v>285000000</v>
      </c>
      <c r="K32" s="14"/>
      <c r="L32" s="14">
        <v>205000000</v>
      </c>
    </row>
    <row r="33" spans="1:12" x14ac:dyDescent="0.4">
      <c r="A33" s="9"/>
      <c r="B33" s="131" t="s">
        <v>279</v>
      </c>
      <c r="C33" s="9"/>
      <c r="D33" s="13">
        <v>11</v>
      </c>
      <c r="E33" s="13"/>
      <c r="F33" s="171">
        <v>391500000</v>
      </c>
      <c r="G33" s="171"/>
      <c r="H33" s="171">
        <v>391500000</v>
      </c>
      <c r="I33" s="165"/>
      <c r="J33" s="14">
        <v>391500000</v>
      </c>
      <c r="K33" s="14"/>
      <c r="L33" s="14">
        <v>391500000</v>
      </c>
    </row>
    <row r="34" spans="1:12" x14ac:dyDescent="0.4">
      <c r="A34" s="9"/>
      <c r="B34" s="131" t="s">
        <v>268</v>
      </c>
      <c r="C34" s="9"/>
      <c r="D34" s="13">
        <v>12</v>
      </c>
      <c r="E34" s="13"/>
      <c r="F34" s="168">
        <v>5391875.6299999999</v>
      </c>
      <c r="G34" s="168"/>
      <c r="H34" s="168">
        <v>5610155.5099999998</v>
      </c>
      <c r="I34" s="165"/>
      <c r="J34" s="14">
        <v>5391875.6299999999</v>
      </c>
      <c r="K34" s="14"/>
      <c r="L34" s="14">
        <v>5610155.5099999998</v>
      </c>
    </row>
    <row r="35" spans="1:12" x14ac:dyDescent="0.4">
      <c r="A35" s="9"/>
      <c r="B35" s="131" t="s">
        <v>369</v>
      </c>
      <c r="C35" s="9"/>
      <c r="D35" s="13">
        <v>13</v>
      </c>
      <c r="E35" s="13"/>
      <c r="F35" s="168">
        <v>59683213.539999999</v>
      </c>
      <c r="G35" s="168"/>
      <c r="H35" s="168">
        <v>71648554.980000004</v>
      </c>
      <c r="I35" s="165"/>
      <c r="J35" s="14">
        <v>29378504.93</v>
      </c>
      <c r="K35" s="14"/>
      <c r="L35" s="14">
        <v>32293497.359999999</v>
      </c>
    </row>
    <row r="36" spans="1:12" x14ac:dyDescent="0.4">
      <c r="A36" s="9"/>
      <c r="B36" s="131" t="s">
        <v>361</v>
      </c>
      <c r="C36" s="9"/>
      <c r="D36" s="13">
        <v>14</v>
      </c>
      <c r="E36" s="13"/>
      <c r="F36" s="168">
        <v>1654185.85</v>
      </c>
      <c r="G36" s="168"/>
      <c r="H36" s="168">
        <v>2047109.25</v>
      </c>
      <c r="I36" s="165"/>
      <c r="J36" s="14">
        <v>1654185.85</v>
      </c>
      <c r="K36" s="14"/>
      <c r="L36" s="14">
        <v>2047109.25</v>
      </c>
    </row>
    <row r="37" spans="1:12" x14ac:dyDescent="0.4">
      <c r="A37" s="9"/>
      <c r="B37" s="131" t="s">
        <v>247</v>
      </c>
      <c r="C37" s="9"/>
      <c r="D37" s="13">
        <v>15.3</v>
      </c>
      <c r="E37" s="13"/>
      <c r="F37" s="168">
        <v>97716615.480000004</v>
      </c>
      <c r="G37" s="168"/>
      <c r="H37" s="168">
        <v>92643273.340000004</v>
      </c>
      <c r="I37" s="165"/>
      <c r="J37" s="14">
        <v>87997597.609999999</v>
      </c>
      <c r="K37" s="14"/>
      <c r="L37" s="14">
        <v>86876274.810000002</v>
      </c>
    </row>
    <row r="38" spans="1:12" x14ac:dyDescent="0.4">
      <c r="A38" s="9"/>
      <c r="B38" s="131" t="s">
        <v>139</v>
      </c>
      <c r="C38" s="9"/>
      <c r="D38" s="13"/>
      <c r="E38" s="13"/>
      <c r="F38" s="168">
        <v>705810</v>
      </c>
      <c r="G38" s="168"/>
      <c r="H38" s="168">
        <v>1079641.76</v>
      </c>
      <c r="I38" s="165"/>
      <c r="J38" s="14">
        <v>427410</v>
      </c>
      <c r="K38" s="14"/>
      <c r="L38" s="14">
        <v>427410</v>
      </c>
    </row>
    <row r="39" spans="1:12" x14ac:dyDescent="0.4">
      <c r="A39" s="9"/>
      <c r="B39" s="9"/>
      <c r="C39" s="131" t="s">
        <v>141</v>
      </c>
      <c r="D39" s="13"/>
      <c r="E39" s="13"/>
      <c r="F39" s="170">
        <f>SUM(F30:F38)</f>
        <v>841652304.22000003</v>
      </c>
      <c r="G39" s="22"/>
      <c r="H39" s="170">
        <f>SUM(H30:H38)</f>
        <v>769529320.87</v>
      </c>
      <c r="I39" s="165"/>
      <c r="J39" s="170">
        <f>SUM(J30:J38)</f>
        <v>1022394174.02</v>
      </c>
      <c r="K39" s="22"/>
      <c r="L39" s="170">
        <f>SUM(L30:L38)</f>
        <v>944799046.93000007</v>
      </c>
    </row>
    <row r="40" spans="1:12" ht="18.75" thickBot="1" x14ac:dyDescent="0.45">
      <c r="A40" s="131" t="s">
        <v>143</v>
      </c>
      <c r="B40" s="9"/>
      <c r="C40" s="9"/>
      <c r="D40" s="13"/>
      <c r="E40" s="13"/>
      <c r="F40" s="172">
        <f>+F39+F27</f>
        <v>3248442842.5600004</v>
      </c>
      <c r="G40" s="22"/>
      <c r="H40" s="172">
        <f>+H39+H27</f>
        <v>3117268556.7399998</v>
      </c>
      <c r="I40" s="165"/>
      <c r="J40" s="172">
        <f>+J39+J27</f>
        <v>3501655727.79</v>
      </c>
      <c r="K40" s="22"/>
      <c r="L40" s="172">
        <f>+L39+L27</f>
        <v>3383995714.5699997</v>
      </c>
    </row>
    <row r="41" spans="1:12" ht="18.75" thickTop="1" x14ac:dyDescent="0.4">
      <c r="A41" s="9"/>
      <c r="B41" s="9"/>
      <c r="C41" s="9"/>
      <c r="D41" s="13"/>
      <c r="E41" s="13"/>
      <c r="F41" s="177"/>
      <c r="G41" s="177"/>
      <c r="H41" s="177"/>
      <c r="I41" s="165"/>
      <c r="J41" s="22"/>
      <c r="K41" s="22"/>
      <c r="L41" s="22"/>
    </row>
    <row r="42" spans="1:12" x14ac:dyDescent="0.4">
      <c r="A42" s="15" t="s">
        <v>298</v>
      </c>
      <c r="B42" s="9"/>
      <c r="C42" s="9"/>
      <c r="D42" s="13"/>
      <c r="E42" s="13"/>
      <c r="F42" s="13"/>
      <c r="G42" s="13"/>
      <c r="H42" s="13"/>
      <c r="I42" s="9"/>
      <c r="J42" s="17"/>
      <c r="K42" s="17"/>
      <c r="L42" s="17"/>
    </row>
    <row r="43" spans="1:12" x14ac:dyDescent="0.4">
      <c r="B43" s="9"/>
      <c r="C43" s="9"/>
      <c r="D43" s="13"/>
      <c r="E43" s="13"/>
      <c r="F43" s="13"/>
      <c r="G43" s="13"/>
      <c r="H43" s="13"/>
      <c r="I43" s="9"/>
      <c r="J43" s="11"/>
      <c r="K43" s="11"/>
      <c r="L43" s="11"/>
    </row>
    <row r="44" spans="1:12" ht="18.75" customHeight="1" x14ac:dyDescent="0.4">
      <c r="A44" s="9"/>
      <c r="B44" s="9"/>
      <c r="C44" s="9"/>
      <c r="D44" s="13"/>
      <c r="E44" s="13"/>
      <c r="F44" s="13"/>
      <c r="G44" s="13"/>
      <c r="H44" s="13"/>
      <c r="I44" s="9"/>
      <c r="J44" s="11"/>
      <c r="K44" s="11"/>
      <c r="L44" s="11"/>
    </row>
    <row r="45" spans="1:12" x14ac:dyDescent="0.4">
      <c r="A45" s="13"/>
      <c r="B45" s="25" t="s">
        <v>144</v>
      </c>
      <c r="C45" s="13"/>
      <c r="D45" s="25"/>
      <c r="E45" s="13"/>
      <c r="F45" s="25" t="s">
        <v>144</v>
      </c>
      <c r="G45" s="25"/>
      <c r="H45" s="13"/>
      <c r="I45" s="13"/>
      <c r="J45" s="13"/>
      <c r="K45" s="13"/>
      <c r="L45" s="13"/>
    </row>
    <row r="46" spans="1:12" ht="9.75" customHeight="1" x14ac:dyDescent="0.4">
      <c r="A46" s="205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</row>
    <row r="47" spans="1:12" x14ac:dyDescent="0.4">
      <c r="B47" s="25"/>
      <c r="C47" s="13"/>
      <c r="D47" s="25"/>
      <c r="E47" s="25"/>
      <c r="F47" s="25"/>
      <c r="G47" s="25"/>
      <c r="H47" s="13"/>
      <c r="I47" s="25"/>
      <c r="J47" s="25"/>
      <c r="K47" s="25"/>
      <c r="L47" s="25"/>
    </row>
    <row r="48" spans="1:12" x14ac:dyDescent="0.4">
      <c r="A48" s="25"/>
      <c r="B48" s="26"/>
      <c r="C48" s="13"/>
      <c r="D48" s="13"/>
      <c r="E48" s="13"/>
      <c r="F48" s="13"/>
      <c r="G48" s="13"/>
      <c r="H48" s="13"/>
      <c r="I48" s="13"/>
      <c r="J48" s="13"/>
      <c r="K48" s="13"/>
      <c r="L48" s="11"/>
    </row>
    <row r="49" spans="1:12" x14ac:dyDescent="0.4">
      <c r="A49" s="206" t="s">
        <v>131</v>
      </c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6"/>
    </row>
    <row r="50" spans="1:12" x14ac:dyDescent="0.4">
      <c r="A50" s="206" t="s">
        <v>230</v>
      </c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</row>
    <row r="51" spans="1:12" s="27" customFormat="1" x14ac:dyDescent="0.4">
      <c r="A51" s="206" t="str">
        <f>+A5</f>
        <v>AS AT JUNE 30, 2023</v>
      </c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</row>
    <row r="52" spans="1:12" ht="18.75" customHeight="1" x14ac:dyDescent="0.4">
      <c r="A52" s="9"/>
      <c r="B52" s="9"/>
      <c r="C52" s="9"/>
      <c r="F52" s="207" t="s">
        <v>132</v>
      </c>
      <c r="G52" s="207"/>
      <c r="H52" s="207"/>
      <c r="I52" s="207"/>
      <c r="J52" s="207"/>
      <c r="K52" s="207"/>
      <c r="L52" s="207"/>
    </row>
    <row r="53" spans="1:12" ht="18.75" customHeight="1" x14ac:dyDescent="0.4">
      <c r="A53" s="9"/>
      <c r="B53" s="9"/>
      <c r="C53" s="9"/>
      <c r="F53" s="204" t="s">
        <v>198</v>
      </c>
      <c r="G53" s="204"/>
      <c r="H53" s="204"/>
      <c r="I53" s="81"/>
      <c r="J53" s="204" t="s">
        <v>199</v>
      </c>
      <c r="K53" s="204"/>
      <c r="L53" s="204"/>
    </row>
    <row r="54" spans="1:12" x14ac:dyDescent="0.4">
      <c r="A54" s="9"/>
      <c r="B54" s="9"/>
      <c r="C54" s="9"/>
      <c r="D54" s="129" t="s">
        <v>133</v>
      </c>
      <c r="F54" s="130" t="str">
        <f>F8</f>
        <v>June 30, 2023</v>
      </c>
      <c r="H54" s="130" t="str">
        <f>H8</f>
        <v>December 31, 2022</v>
      </c>
      <c r="J54" s="130" t="str">
        <f>J8</f>
        <v>June 30, 2023</v>
      </c>
      <c r="K54" s="6"/>
      <c r="L54" s="130" t="str">
        <f>L8</f>
        <v>December 31, 2022</v>
      </c>
    </row>
    <row r="55" spans="1:12" s="37" customFormat="1" ht="18" customHeight="1" x14ac:dyDescent="0.4">
      <c r="A55" s="6"/>
      <c r="B55" s="6"/>
      <c r="C55" s="6"/>
      <c r="D55" s="6"/>
      <c r="E55" s="6"/>
      <c r="F55" s="8" t="s">
        <v>306</v>
      </c>
      <c r="G55" s="8"/>
      <c r="H55" s="34" t="s">
        <v>307</v>
      </c>
      <c r="I55" s="15"/>
      <c r="J55" s="8" t="s">
        <v>306</v>
      </c>
      <c r="K55" s="8"/>
      <c r="L55" s="34" t="s">
        <v>307</v>
      </c>
    </row>
    <row r="56" spans="1:12" s="37" customFormat="1" ht="18" customHeight="1" x14ac:dyDescent="0.4">
      <c r="A56" s="6"/>
      <c r="B56" s="6"/>
      <c r="C56" s="6"/>
      <c r="D56" s="6"/>
      <c r="E56" s="6"/>
      <c r="F56" s="20" t="s">
        <v>308</v>
      </c>
      <c r="G56" s="20"/>
      <c r="H56" s="20"/>
      <c r="I56" s="9"/>
      <c r="J56" s="20" t="s">
        <v>308</v>
      </c>
      <c r="K56" s="20"/>
      <c r="L56" s="20"/>
    </row>
    <row r="57" spans="1:12" ht="18" customHeight="1" x14ac:dyDescent="0.4">
      <c r="A57" s="208" t="s">
        <v>145</v>
      </c>
      <c r="B57" s="208"/>
      <c r="C57" s="208"/>
      <c r="D57" s="13"/>
      <c r="E57" s="13"/>
      <c r="F57" s="28"/>
      <c r="G57" s="28"/>
      <c r="H57" s="28"/>
      <c r="I57" s="9"/>
      <c r="J57" s="28"/>
      <c r="K57" s="28"/>
      <c r="L57" s="28"/>
    </row>
    <row r="58" spans="1:12" x14ac:dyDescent="0.4">
      <c r="A58" s="131" t="s">
        <v>146</v>
      </c>
      <c r="B58" s="9"/>
      <c r="C58" s="9"/>
      <c r="D58" s="13"/>
      <c r="E58" s="13"/>
      <c r="F58" s="10"/>
      <c r="G58" s="10"/>
      <c r="H58" s="10"/>
      <c r="I58" s="9"/>
      <c r="J58" s="11"/>
      <c r="K58" s="11"/>
      <c r="L58" s="11"/>
    </row>
    <row r="59" spans="1:12" x14ac:dyDescent="0.4">
      <c r="A59" s="9"/>
      <c r="B59" s="9" t="s">
        <v>280</v>
      </c>
      <c r="C59" s="9"/>
      <c r="D59" s="13">
        <v>16</v>
      </c>
      <c r="E59" s="13"/>
      <c r="F59" s="10">
        <v>500000000</v>
      </c>
      <c r="G59" s="10"/>
      <c r="H59" s="171">
        <v>360000000</v>
      </c>
      <c r="I59" s="9"/>
      <c r="J59" s="11">
        <v>500000000</v>
      </c>
      <c r="K59" s="11"/>
      <c r="L59" s="171">
        <v>360000000</v>
      </c>
    </row>
    <row r="60" spans="1:12" x14ac:dyDescent="0.4">
      <c r="A60" s="9"/>
      <c r="B60" s="9" t="s">
        <v>248</v>
      </c>
      <c r="C60" s="9"/>
      <c r="D60" s="13"/>
      <c r="E60" s="13"/>
      <c r="F60" s="12"/>
      <c r="G60" s="12"/>
      <c r="H60" s="12"/>
      <c r="I60" s="18"/>
      <c r="J60" s="11"/>
      <c r="K60" s="11"/>
      <c r="L60" s="11"/>
    </row>
    <row r="61" spans="1:12" x14ac:dyDescent="0.4">
      <c r="A61" s="9"/>
      <c r="B61" s="9"/>
      <c r="C61" s="9" t="s">
        <v>365</v>
      </c>
      <c r="D61" s="13">
        <v>17</v>
      </c>
      <c r="E61" s="13"/>
      <c r="F61" s="171">
        <v>550330.72</v>
      </c>
      <c r="G61" s="171"/>
      <c r="H61" s="171">
        <v>534699.31000000006</v>
      </c>
      <c r="I61" s="165"/>
      <c r="J61" s="14">
        <v>0</v>
      </c>
      <c r="K61" s="14"/>
      <c r="L61" s="14">
        <v>0</v>
      </c>
    </row>
    <row r="62" spans="1:12" x14ac:dyDescent="0.4">
      <c r="A62" s="9"/>
      <c r="B62" s="9"/>
      <c r="C62" s="9" t="s">
        <v>366</v>
      </c>
      <c r="D62" s="13"/>
      <c r="E62" s="13"/>
      <c r="F62" s="171">
        <v>0</v>
      </c>
      <c r="G62" s="171"/>
      <c r="H62" s="171">
        <v>0</v>
      </c>
      <c r="I62" s="165"/>
      <c r="J62" s="14">
        <v>3800000</v>
      </c>
      <c r="K62" s="14"/>
      <c r="L62" s="14">
        <v>0</v>
      </c>
    </row>
    <row r="63" spans="1:12" x14ac:dyDescent="0.4">
      <c r="A63" s="9"/>
      <c r="B63" s="9" t="s">
        <v>325</v>
      </c>
      <c r="E63" s="13"/>
      <c r="F63" s="171"/>
      <c r="G63" s="171"/>
      <c r="H63" s="171"/>
      <c r="I63" s="165"/>
      <c r="J63" s="14"/>
      <c r="K63" s="14"/>
      <c r="L63" s="14"/>
    </row>
    <row r="64" spans="1:12" x14ac:dyDescent="0.4">
      <c r="A64" s="9"/>
      <c r="B64" s="9"/>
      <c r="C64" s="9" t="s">
        <v>365</v>
      </c>
      <c r="D64" s="6">
        <v>18</v>
      </c>
      <c r="E64" s="13"/>
      <c r="F64" s="171">
        <v>22457335.449999999</v>
      </c>
      <c r="G64" s="171"/>
      <c r="H64" s="171">
        <v>26888375.510000002</v>
      </c>
      <c r="I64" s="165"/>
      <c r="J64" s="14">
        <v>14721056.529999999</v>
      </c>
      <c r="K64" s="14"/>
      <c r="L64" s="14">
        <v>13042986.43</v>
      </c>
    </row>
    <row r="65" spans="1:14" x14ac:dyDescent="0.4">
      <c r="A65" s="9"/>
      <c r="B65" s="9"/>
      <c r="C65" s="9" t="s">
        <v>366</v>
      </c>
      <c r="D65" s="6">
        <v>2.4</v>
      </c>
      <c r="E65" s="13"/>
      <c r="F65" s="171">
        <v>0</v>
      </c>
      <c r="G65" s="171"/>
      <c r="H65" s="171">
        <v>0</v>
      </c>
      <c r="I65" s="165"/>
      <c r="J65" s="14">
        <v>25699585.469999999</v>
      </c>
      <c r="K65" s="14"/>
      <c r="L65" s="14">
        <v>6591361.0499999998</v>
      </c>
    </row>
    <row r="66" spans="1:14" x14ac:dyDescent="0.4">
      <c r="A66" s="9"/>
      <c r="B66" s="9" t="s">
        <v>338</v>
      </c>
      <c r="C66" s="9"/>
      <c r="E66" s="13"/>
      <c r="F66" s="171"/>
      <c r="G66" s="171"/>
      <c r="H66" s="171"/>
      <c r="I66" s="165"/>
      <c r="J66" s="14"/>
      <c r="K66" s="14"/>
      <c r="L66" s="14"/>
    </row>
    <row r="67" spans="1:14" x14ac:dyDescent="0.4">
      <c r="A67" s="9"/>
      <c r="B67" s="9"/>
      <c r="C67" s="9" t="s">
        <v>366</v>
      </c>
      <c r="D67" s="6">
        <v>2.5</v>
      </c>
      <c r="E67" s="13"/>
      <c r="F67" s="171">
        <v>0</v>
      </c>
      <c r="G67" s="171"/>
      <c r="H67" s="171">
        <v>0</v>
      </c>
      <c r="I67" s="165"/>
      <c r="J67" s="14">
        <v>25000000</v>
      </c>
      <c r="K67" s="14"/>
      <c r="L67" s="14">
        <v>25000000</v>
      </c>
    </row>
    <row r="68" spans="1:14" x14ac:dyDescent="0.4">
      <c r="A68" s="9"/>
      <c r="B68" s="9" t="s">
        <v>148</v>
      </c>
      <c r="D68" s="13"/>
      <c r="E68" s="13"/>
      <c r="F68" s="171">
        <v>6578580.1100000003</v>
      </c>
      <c r="G68" s="171"/>
      <c r="H68" s="171">
        <v>14354634.25</v>
      </c>
      <c r="I68" s="165"/>
      <c r="J68" s="171">
        <v>6578580.1100000003</v>
      </c>
      <c r="K68" s="171"/>
      <c r="L68" s="171">
        <v>14354634.25</v>
      </c>
    </row>
    <row r="69" spans="1:14" x14ac:dyDescent="0.4">
      <c r="A69" s="9"/>
      <c r="B69" s="9" t="s">
        <v>362</v>
      </c>
      <c r="D69" s="13">
        <v>19</v>
      </c>
      <c r="E69" s="13"/>
      <c r="F69" s="171">
        <v>791558.94</v>
      </c>
      <c r="G69" s="171"/>
      <c r="H69" s="171">
        <v>783184.47</v>
      </c>
      <c r="I69" s="165"/>
      <c r="J69" s="171">
        <v>791558.94</v>
      </c>
      <c r="K69" s="171"/>
      <c r="L69" s="171">
        <v>783184.47</v>
      </c>
    </row>
    <row r="70" spans="1:14" x14ac:dyDescent="0.4">
      <c r="A70" s="9"/>
      <c r="B70" s="9" t="s">
        <v>147</v>
      </c>
      <c r="C70" s="9"/>
      <c r="D70" s="13"/>
      <c r="E70" s="13"/>
      <c r="F70" s="171"/>
      <c r="G70" s="171"/>
      <c r="H70" s="171"/>
      <c r="I70" s="165"/>
      <c r="J70" s="171"/>
      <c r="K70" s="171"/>
      <c r="L70" s="171"/>
    </row>
    <row r="71" spans="1:14" x14ac:dyDescent="0.4">
      <c r="A71" s="9"/>
      <c r="B71" s="9"/>
      <c r="C71" s="9" t="s">
        <v>204</v>
      </c>
      <c r="D71" s="13"/>
      <c r="E71" s="13"/>
      <c r="F71" s="171">
        <v>3068758.4</v>
      </c>
      <c r="G71" s="171"/>
      <c r="H71" s="171">
        <v>4198579.91</v>
      </c>
      <c r="I71" s="168"/>
      <c r="J71" s="168">
        <v>3068758.4</v>
      </c>
      <c r="K71" s="168"/>
      <c r="L71" s="168">
        <v>4198579.91</v>
      </c>
    </row>
    <row r="72" spans="1:14" x14ac:dyDescent="0.4">
      <c r="A72" s="9"/>
      <c r="B72" s="9"/>
      <c r="C72" s="9" t="s">
        <v>137</v>
      </c>
      <c r="D72" s="13"/>
      <c r="E72" s="13"/>
      <c r="F72" s="171">
        <v>1069576.93</v>
      </c>
      <c r="G72" s="171"/>
      <c r="H72" s="171">
        <v>897660.67</v>
      </c>
      <c r="I72" s="165"/>
      <c r="J72" s="14">
        <v>954684.8</v>
      </c>
      <c r="K72" s="14"/>
      <c r="L72" s="14">
        <v>822936.56</v>
      </c>
    </row>
    <row r="73" spans="1:14" x14ac:dyDescent="0.4">
      <c r="A73" s="9"/>
      <c r="B73" s="9"/>
      <c r="C73" s="131" t="s">
        <v>149</v>
      </c>
      <c r="D73" s="13"/>
      <c r="E73" s="13"/>
      <c r="F73" s="170">
        <f>SUM(F59:F72)</f>
        <v>534516140.55000001</v>
      </c>
      <c r="G73" s="22"/>
      <c r="H73" s="170">
        <f>SUM(H59:H72)</f>
        <v>407657134.12000006</v>
      </c>
      <c r="I73" s="165"/>
      <c r="J73" s="170">
        <f>SUM(J59:J72)</f>
        <v>580614224.25</v>
      </c>
      <c r="K73" s="22"/>
      <c r="L73" s="170">
        <f>SUM(L59:L72)</f>
        <v>424793682.67000008</v>
      </c>
    </row>
    <row r="74" spans="1:14" x14ac:dyDescent="0.4">
      <c r="A74" s="9"/>
      <c r="B74" s="9"/>
      <c r="C74" s="131"/>
      <c r="D74" s="13"/>
      <c r="E74" s="13"/>
      <c r="F74" s="22"/>
      <c r="G74" s="22"/>
      <c r="H74" s="22"/>
      <c r="I74" s="165"/>
      <c r="J74" s="22"/>
      <c r="K74" s="22"/>
      <c r="L74" s="22"/>
    </row>
    <row r="75" spans="1:14" x14ac:dyDescent="0.4">
      <c r="A75" s="131" t="s">
        <v>217</v>
      </c>
      <c r="B75" s="9"/>
      <c r="C75" s="131"/>
      <c r="D75" s="13"/>
      <c r="E75" s="13"/>
      <c r="F75" s="22"/>
      <c r="G75" s="22"/>
      <c r="H75" s="22"/>
      <c r="I75" s="165"/>
      <c r="J75" s="22"/>
      <c r="K75" s="22"/>
      <c r="L75" s="22"/>
    </row>
    <row r="76" spans="1:14" x14ac:dyDescent="0.4">
      <c r="A76" s="131"/>
      <c r="B76" s="9" t="s">
        <v>363</v>
      </c>
      <c r="C76" s="131"/>
      <c r="D76" s="13">
        <v>19</v>
      </c>
      <c r="E76" s="13"/>
      <c r="F76" s="22">
        <v>876738.51</v>
      </c>
      <c r="G76" s="22"/>
      <c r="H76" s="22">
        <v>1274622.74</v>
      </c>
      <c r="I76" s="165"/>
      <c r="J76" s="22">
        <v>876738.51</v>
      </c>
      <c r="K76" s="22"/>
      <c r="L76" s="22">
        <v>1274622.74</v>
      </c>
    </row>
    <row r="77" spans="1:14" hidden="1" x14ac:dyDescent="0.4">
      <c r="A77" s="131"/>
      <c r="B77" s="9" t="s">
        <v>249</v>
      </c>
      <c r="C77" s="131"/>
      <c r="D77" s="13">
        <v>15.3</v>
      </c>
      <c r="E77" s="13"/>
      <c r="F77" s="22"/>
      <c r="G77" s="22"/>
      <c r="H77" s="22">
        <v>0</v>
      </c>
      <c r="I77" s="165"/>
      <c r="J77" s="22"/>
      <c r="K77" s="22"/>
      <c r="L77" s="22">
        <v>0</v>
      </c>
    </row>
    <row r="78" spans="1:14" x14ac:dyDescent="0.4">
      <c r="A78" s="9"/>
      <c r="B78" s="9" t="s">
        <v>326</v>
      </c>
      <c r="C78" s="131"/>
      <c r="D78" s="13">
        <v>20</v>
      </c>
      <c r="E78" s="13"/>
      <c r="F78" s="171">
        <v>34569895</v>
      </c>
      <c r="G78" s="171"/>
      <c r="H78" s="171">
        <v>33197268</v>
      </c>
      <c r="I78" s="14"/>
      <c r="J78" s="14">
        <v>32500746</v>
      </c>
      <c r="K78" s="14"/>
      <c r="L78" s="14">
        <v>31269880</v>
      </c>
      <c r="N78" s="164"/>
    </row>
    <row r="79" spans="1:14" x14ac:dyDescent="0.4">
      <c r="A79" s="9"/>
      <c r="B79" s="9"/>
      <c r="C79" s="131" t="s">
        <v>218</v>
      </c>
      <c r="D79" s="13"/>
      <c r="E79" s="13"/>
      <c r="F79" s="170">
        <f>SUM(F76:F78)</f>
        <v>35446633.509999998</v>
      </c>
      <c r="G79" s="22"/>
      <c r="H79" s="170">
        <f>SUM(H76:H78)</f>
        <v>34471890.740000002</v>
      </c>
      <c r="I79" s="14"/>
      <c r="J79" s="170">
        <f>SUM(J76:J78)</f>
        <v>33377484.510000002</v>
      </c>
      <c r="K79" s="22"/>
      <c r="L79" s="170">
        <f>SUM(L76:L78)</f>
        <v>32544502.739999998</v>
      </c>
    </row>
    <row r="80" spans="1:14" x14ac:dyDescent="0.4">
      <c r="A80" s="9"/>
      <c r="B80" s="9"/>
      <c r="C80" s="131" t="s">
        <v>219</v>
      </c>
      <c r="D80" s="13"/>
      <c r="E80" s="13"/>
      <c r="F80" s="167">
        <f>+F79+F73</f>
        <v>569962774.06000006</v>
      </c>
      <c r="G80" s="22"/>
      <c r="H80" s="167">
        <f>+H79+H73</f>
        <v>442129024.86000007</v>
      </c>
      <c r="I80" s="165"/>
      <c r="J80" s="167">
        <f>+J79+J73</f>
        <v>613991708.75999999</v>
      </c>
      <c r="K80" s="22"/>
      <c r="L80" s="167">
        <f>+L79+L73</f>
        <v>457338185.41000009</v>
      </c>
    </row>
    <row r="81" spans="1:12" x14ac:dyDescent="0.4">
      <c r="A81" s="9"/>
      <c r="B81" s="9"/>
      <c r="C81" s="131"/>
      <c r="D81" s="13"/>
      <c r="E81" s="13"/>
      <c r="F81" s="22"/>
      <c r="G81" s="22"/>
      <c r="H81" s="22"/>
      <c r="I81" s="165"/>
      <c r="J81" s="22"/>
      <c r="K81" s="22"/>
      <c r="L81" s="22"/>
    </row>
    <row r="82" spans="1:12" x14ac:dyDescent="0.4">
      <c r="A82" s="15" t="s">
        <v>298</v>
      </c>
      <c r="B82" s="9"/>
      <c r="C82" s="131"/>
      <c r="D82" s="13"/>
      <c r="E82" s="13"/>
      <c r="F82" s="17"/>
      <c r="G82" s="17"/>
      <c r="H82" s="17"/>
      <c r="I82" s="18"/>
      <c r="J82" s="17"/>
      <c r="K82" s="17"/>
      <c r="L82" s="17"/>
    </row>
    <row r="83" spans="1:12" x14ac:dyDescent="0.4">
      <c r="A83" s="9"/>
      <c r="B83" s="9"/>
      <c r="C83" s="131"/>
      <c r="D83" s="13"/>
      <c r="E83" s="13"/>
      <c r="F83" s="17"/>
      <c r="G83" s="17"/>
      <c r="H83" s="17"/>
      <c r="I83" s="18"/>
      <c r="J83" s="17"/>
      <c r="K83" s="17"/>
      <c r="L83" s="17"/>
    </row>
    <row r="84" spans="1:12" x14ac:dyDescent="0.4">
      <c r="A84" s="9"/>
      <c r="B84" s="9"/>
      <c r="C84" s="131"/>
      <c r="D84" s="13"/>
      <c r="E84" s="13"/>
      <c r="F84" s="17"/>
      <c r="G84" s="17"/>
      <c r="H84" s="17"/>
      <c r="I84" s="18"/>
      <c r="J84" s="17"/>
      <c r="K84" s="17"/>
      <c r="L84" s="17"/>
    </row>
    <row r="85" spans="1:12" x14ac:dyDescent="0.4">
      <c r="A85" s="9"/>
      <c r="B85" s="9"/>
      <c r="C85" s="131"/>
      <c r="D85" s="13"/>
      <c r="E85" s="13"/>
      <c r="F85" s="17"/>
      <c r="G85" s="17"/>
      <c r="H85" s="17"/>
      <c r="I85" s="18"/>
      <c r="J85" s="17"/>
      <c r="K85" s="17"/>
      <c r="L85" s="17"/>
    </row>
    <row r="86" spans="1:12" x14ac:dyDescent="0.4">
      <c r="A86" s="9"/>
      <c r="B86" s="9"/>
      <c r="C86" s="131"/>
      <c r="D86" s="13"/>
      <c r="E86" s="13"/>
      <c r="F86" s="17"/>
      <c r="G86" s="17"/>
      <c r="H86" s="17"/>
      <c r="I86" s="18"/>
      <c r="J86" s="17"/>
      <c r="K86" s="17"/>
      <c r="L86" s="17"/>
    </row>
    <row r="87" spans="1:12" x14ac:dyDescent="0.4">
      <c r="A87" s="9"/>
      <c r="B87" s="9"/>
      <c r="C87" s="131"/>
      <c r="D87" s="13"/>
      <c r="E87" s="13"/>
      <c r="F87" s="17"/>
      <c r="G87" s="17"/>
      <c r="H87" s="17"/>
      <c r="I87" s="18"/>
      <c r="J87" s="17"/>
      <c r="K87" s="17"/>
      <c r="L87" s="17"/>
    </row>
    <row r="88" spans="1:12" x14ac:dyDescent="0.4">
      <c r="A88" s="136"/>
      <c r="B88" s="9"/>
      <c r="C88" s="9"/>
      <c r="D88" s="13"/>
      <c r="E88" s="13"/>
      <c r="F88" s="13"/>
      <c r="G88" s="13"/>
      <c r="H88" s="13"/>
      <c r="I88" s="9"/>
      <c r="J88" s="17"/>
      <c r="K88" s="17"/>
      <c r="L88" s="17"/>
    </row>
    <row r="89" spans="1:12" x14ac:dyDescent="0.4">
      <c r="A89" s="136"/>
      <c r="B89" s="9"/>
      <c r="C89" s="9"/>
      <c r="D89" s="13"/>
      <c r="E89" s="13"/>
      <c r="F89" s="13"/>
      <c r="G89" s="13"/>
      <c r="H89" s="13"/>
      <c r="I89" s="9"/>
      <c r="J89" s="17"/>
      <c r="K89" s="17"/>
      <c r="L89" s="17"/>
    </row>
    <row r="90" spans="1:12" x14ac:dyDescent="0.4">
      <c r="A90" s="136"/>
      <c r="B90" s="9"/>
      <c r="C90" s="9"/>
      <c r="D90" s="13"/>
      <c r="E90" s="13"/>
      <c r="F90" s="13"/>
      <c r="G90" s="13"/>
      <c r="H90" s="13"/>
      <c r="I90" s="9"/>
      <c r="J90" s="17"/>
      <c r="K90" s="17"/>
      <c r="L90" s="17"/>
    </row>
    <row r="91" spans="1:12" x14ac:dyDescent="0.4">
      <c r="C91" s="9"/>
      <c r="D91" s="13"/>
      <c r="E91" s="13"/>
      <c r="F91" s="13"/>
      <c r="G91" s="13"/>
      <c r="H91" s="13"/>
      <c r="I91" s="9"/>
      <c r="J91" s="17"/>
      <c r="K91" s="17"/>
      <c r="L91" s="17"/>
    </row>
    <row r="92" spans="1:12" x14ac:dyDescent="0.4">
      <c r="A92" s="13"/>
      <c r="B92" s="25" t="s">
        <v>144</v>
      </c>
      <c r="C92" s="13"/>
      <c r="D92" s="25"/>
      <c r="E92" s="13"/>
      <c r="F92" s="25" t="s">
        <v>144</v>
      </c>
      <c r="G92" s="25"/>
      <c r="H92" s="13"/>
      <c r="I92" s="13"/>
      <c r="J92" s="13"/>
      <c r="K92" s="13"/>
      <c r="L92" s="13"/>
    </row>
    <row r="93" spans="1:12" x14ac:dyDescent="0.4">
      <c r="A93" s="205"/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</row>
    <row r="94" spans="1:12" x14ac:dyDescent="0.4">
      <c r="B94" s="25"/>
      <c r="C94" s="13"/>
      <c r="D94" s="25"/>
      <c r="E94" s="25"/>
      <c r="F94" s="25"/>
      <c r="G94" s="25"/>
      <c r="H94" s="13"/>
      <c r="I94" s="25"/>
      <c r="J94" s="25"/>
      <c r="K94" s="25"/>
      <c r="L94" s="25"/>
    </row>
    <row r="95" spans="1:12" x14ac:dyDescent="0.4">
      <c r="A95" s="25"/>
      <c r="B95" s="26"/>
      <c r="C95" s="13"/>
      <c r="D95" s="13"/>
      <c r="E95" s="13"/>
      <c r="F95" s="13"/>
      <c r="G95" s="13"/>
      <c r="H95" s="13"/>
      <c r="I95" s="13"/>
      <c r="J95" s="13"/>
      <c r="K95" s="13"/>
      <c r="L95" s="11"/>
    </row>
    <row r="96" spans="1:12" x14ac:dyDescent="0.4">
      <c r="A96" s="206" t="s">
        <v>131</v>
      </c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</row>
    <row r="97" spans="1:12" x14ac:dyDescent="0.4">
      <c r="A97" s="206" t="s">
        <v>230</v>
      </c>
      <c r="B97" s="206"/>
      <c r="C97" s="206"/>
      <c r="D97" s="206"/>
      <c r="E97" s="206"/>
      <c r="F97" s="206"/>
      <c r="G97" s="206"/>
      <c r="H97" s="206"/>
      <c r="I97" s="206"/>
      <c r="J97" s="206"/>
      <c r="K97" s="206"/>
      <c r="L97" s="206"/>
    </row>
    <row r="98" spans="1:12" s="27" customFormat="1" ht="21.75" customHeight="1" x14ac:dyDescent="0.4">
      <c r="A98" s="206" t="str">
        <f>+A51</f>
        <v>AS AT JUNE 30, 2023</v>
      </c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</row>
    <row r="99" spans="1:12" x14ac:dyDescent="0.4">
      <c r="A99" s="9"/>
      <c r="B99" s="9"/>
      <c r="C99" s="9"/>
      <c r="F99" s="207" t="s">
        <v>132</v>
      </c>
      <c r="G99" s="207"/>
      <c r="H99" s="207"/>
      <c r="I99" s="207"/>
      <c r="J99" s="207"/>
      <c r="K99" s="207"/>
      <c r="L99" s="207"/>
    </row>
    <row r="100" spans="1:12" ht="18.75" x14ac:dyDescent="0.4">
      <c r="A100" s="9"/>
      <c r="B100" s="9"/>
      <c r="C100" s="9"/>
      <c r="F100" s="204" t="s">
        <v>198</v>
      </c>
      <c r="G100" s="204"/>
      <c r="H100" s="204"/>
      <c r="I100" s="81"/>
      <c r="J100" s="204" t="s">
        <v>199</v>
      </c>
      <c r="K100" s="204"/>
      <c r="L100" s="204"/>
    </row>
    <row r="101" spans="1:12" x14ac:dyDescent="0.4">
      <c r="A101" s="9"/>
      <c r="B101" s="9"/>
      <c r="C101" s="9"/>
      <c r="D101" s="129" t="s">
        <v>133</v>
      </c>
      <c r="F101" s="130" t="str">
        <f>F54</f>
        <v>June 30, 2023</v>
      </c>
      <c r="H101" s="130" t="str">
        <f>H54</f>
        <v>December 31, 2022</v>
      </c>
      <c r="J101" s="130" t="str">
        <f>J54</f>
        <v>June 30, 2023</v>
      </c>
      <c r="K101" s="6"/>
      <c r="L101" s="130" t="str">
        <f>L54</f>
        <v>December 31, 2022</v>
      </c>
    </row>
    <row r="102" spans="1:12" x14ac:dyDescent="0.4">
      <c r="A102" s="6"/>
      <c r="B102" s="6"/>
      <c r="C102" s="6"/>
      <c r="F102" s="8" t="s">
        <v>306</v>
      </c>
      <c r="G102" s="8"/>
      <c r="H102" s="34" t="s">
        <v>307</v>
      </c>
      <c r="I102" s="15"/>
      <c r="J102" s="8" t="s">
        <v>306</v>
      </c>
      <c r="K102" s="8"/>
      <c r="L102" s="34" t="s">
        <v>307</v>
      </c>
    </row>
    <row r="103" spans="1:12" x14ac:dyDescent="0.4">
      <c r="A103" s="6"/>
      <c r="B103" s="6"/>
      <c r="C103" s="6"/>
      <c r="F103" s="20" t="s">
        <v>308</v>
      </c>
      <c r="G103" s="20"/>
      <c r="H103" s="20"/>
      <c r="I103" s="9"/>
      <c r="J103" s="20" t="s">
        <v>308</v>
      </c>
      <c r="K103" s="20"/>
      <c r="L103" s="20"/>
    </row>
    <row r="104" spans="1:12" x14ac:dyDescent="0.4">
      <c r="A104" s="131" t="s">
        <v>150</v>
      </c>
      <c r="B104" s="9"/>
      <c r="C104" s="9"/>
      <c r="D104" s="13"/>
      <c r="E104" s="13"/>
      <c r="F104" s="28"/>
      <c r="G104" s="28"/>
      <c r="H104" s="29"/>
      <c r="I104" s="9"/>
      <c r="J104" s="28"/>
      <c r="K104" s="28"/>
      <c r="L104" s="28"/>
    </row>
    <row r="105" spans="1:12" x14ac:dyDescent="0.4">
      <c r="A105" s="9"/>
      <c r="B105" s="9" t="s">
        <v>270</v>
      </c>
      <c r="C105" s="9"/>
      <c r="D105" s="13"/>
      <c r="E105" s="13"/>
      <c r="F105" s="168"/>
      <c r="G105" s="168"/>
      <c r="H105" s="168"/>
      <c r="I105" s="165"/>
      <c r="J105" s="22"/>
      <c r="K105" s="22"/>
      <c r="L105" s="14"/>
    </row>
    <row r="106" spans="1:12" x14ac:dyDescent="0.4">
      <c r="A106" s="9"/>
      <c r="B106" s="9" t="s">
        <v>151</v>
      </c>
      <c r="C106" s="9"/>
      <c r="D106" s="13"/>
      <c r="E106" s="13"/>
      <c r="F106" s="168"/>
      <c r="G106" s="168"/>
      <c r="H106" s="168"/>
      <c r="I106" s="165"/>
      <c r="J106" s="22"/>
      <c r="K106" s="22"/>
      <c r="L106" s="14"/>
    </row>
    <row r="107" spans="1:12" ht="18.75" thickBot="1" x14ac:dyDescent="0.45">
      <c r="A107" s="9"/>
      <c r="B107" s="9"/>
      <c r="C107" s="39" t="s">
        <v>352</v>
      </c>
      <c r="D107" s="13"/>
      <c r="E107" s="13"/>
      <c r="F107" s="189">
        <v>0</v>
      </c>
      <c r="G107" s="168"/>
      <c r="H107" s="189">
        <v>1637350330.1199999</v>
      </c>
      <c r="I107" s="165"/>
      <c r="J107" s="189">
        <v>0</v>
      </c>
      <c r="K107" s="168"/>
      <c r="L107" s="189">
        <v>1637350330.1199999</v>
      </c>
    </row>
    <row r="108" spans="1:12" ht="19.5" thickTop="1" thickBot="1" x14ac:dyDescent="0.45">
      <c r="A108" s="9"/>
      <c r="B108" s="9"/>
      <c r="C108" s="39" t="s">
        <v>370</v>
      </c>
      <c r="D108" s="13">
        <v>21</v>
      </c>
      <c r="E108" s="13"/>
      <c r="F108" s="189">
        <v>1644604486.8699999</v>
      </c>
      <c r="G108" s="168"/>
      <c r="H108" s="189">
        <v>0</v>
      </c>
      <c r="I108" s="165"/>
      <c r="J108" s="189">
        <v>1644604486.8699999</v>
      </c>
      <c r="K108" s="168"/>
      <c r="L108" s="189">
        <v>0</v>
      </c>
    </row>
    <row r="109" spans="1:12" ht="18.75" thickTop="1" x14ac:dyDescent="0.4">
      <c r="A109" s="9"/>
      <c r="B109" s="9" t="s">
        <v>186</v>
      </c>
      <c r="C109" s="9"/>
      <c r="D109" s="13"/>
      <c r="E109" s="13"/>
      <c r="F109" s="168"/>
      <c r="G109" s="168"/>
      <c r="H109" s="168"/>
      <c r="I109" s="165"/>
      <c r="J109" s="14"/>
      <c r="K109" s="14"/>
      <c r="L109" s="14"/>
    </row>
    <row r="110" spans="1:12" x14ac:dyDescent="0.4">
      <c r="A110" s="9"/>
      <c r="B110" s="9"/>
      <c r="C110" s="39" t="s">
        <v>371</v>
      </c>
      <c r="D110" s="13">
        <v>21</v>
      </c>
      <c r="E110" s="13"/>
      <c r="F110" s="14">
        <v>1164401069.76</v>
      </c>
      <c r="G110" s="14"/>
      <c r="H110" s="4">
        <v>1164401069.76</v>
      </c>
      <c r="I110" s="14"/>
      <c r="J110" s="14">
        <v>1164401069.76</v>
      </c>
      <c r="K110" s="14"/>
      <c r="L110" s="4">
        <v>1164401069.76</v>
      </c>
    </row>
    <row r="111" spans="1:12" x14ac:dyDescent="0.4">
      <c r="A111" s="9"/>
      <c r="B111" s="9" t="s">
        <v>271</v>
      </c>
      <c r="C111" s="36"/>
      <c r="D111" s="13">
        <v>21</v>
      </c>
      <c r="E111" s="13"/>
      <c r="F111" s="14">
        <f>+'Changed-Conso'!H42</f>
        <v>688264273.16999996</v>
      </c>
      <c r="G111" s="14"/>
      <c r="H111" s="14">
        <v>688264273.16999996</v>
      </c>
      <c r="I111" s="165"/>
      <c r="J111" s="14">
        <f>+'Changed-Com'!H38</f>
        <v>688264273.16999996</v>
      </c>
      <c r="K111" s="14"/>
      <c r="L111" s="14">
        <v>688264273.16999996</v>
      </c>
    </row>
    <row r="112" spans="1:12" x14ac:dyDescent="0.4">
      <c r="A112" s="9"/>
      <c r="B112" s="9" t="s">
        <v>311</v>
      </c>
      <c r="C112" s="36"/>
      <c r="D112" s="13">
        <v>22</v>
      </c>
      <c r="E112" s="13"/>
      <c r="F112" s="14">
        <f>+'Changed-Conso'!J42</f>
        <v>0</v>
      </c>
      <c r="G112" s="14"/>
      <c r="H112" s="14">
        <v>0</v>
      </c>
      <c r="I112" s="165"/>
      <c r="J112" s="14">
        <f>+'Changed-Com'!J38</f>
        <v>0</v>
      </c>
      <c r="K112" s="14"/>
      <c r="L112" s="14">
        <v>0</v>
      </c>
    </row>
    <row r="113" spans="1:20" x14ac:dyDescent="0.4">
      <c r="A113" s="9"/>
      <c r="B113" s="9" t="s">
        <v>152</v>
      </c>
      <c r="C113" s="9"/>
      <c r="D113" s="13"/>
      <c r="E113" s="13"/>
      <c r="F113" s="14"/>
      <c r="G113" s="14"/>
      <c r="H113" s="168"/>
      <c r="I113" s="165"/>
      <c r="J113" s="14"/>
      <c r="K113" s="14"/>
      <c r="L113" s="14"/>
    </row>
    <row r="114" spans="1:20" x14ac:dyDescent="0.4">
      <c r="A114" s="9"/>
      <c r="B114" s="9"/>
      <c r="C114" s="9" t="s">
        <v>153</v>
      </c>
      <c r="D114" s="13"/>
      <c r="E114" s="13"/>
      <c r="F114" s="171">
        <f>+'Changed-Conso'!L42</f>
        <v>101508576.81</v>
      </c>
      <c r="G114" s="171"/>
      <c r="H114" s="171">
        <v>101508576.81</v>
      </c>
      <c r="I114" s="165"/>
      <c r="J114" s="171">
        <f>+'Changed-Com'!R38</f>
        <v>101508576.81</v>
      </c>
      <c r="K114" s="171"/>
      <c r="L114" s="171">
        <v>101508576.81</v>
      </c>
    </row>
    <row r="115" spans="1:20" x14ac:dyDescent="0.4">
      <c r="A115" s="9"/>
      <c r="B115" s="9"/>
      <c r="C115" s="9" t="s">
        <v>154</v>
      </c>
      <c r="D115" s="30"/>
      <c r="E115" s="13"/>
      <c r="F115" s="22">
        <f>+'Changed-Conso'!N42</f>
        <v>643050910.46000004</v>
      </c>
      <c r="G115" s="22"/>
      <c r="H115" s="168">
        <v>640369161.44000006</v>
      </c>
      <c r="I115" s="165"/>
      <c r="J115" s="22">
        <f>+'Changed-Com'!T38</f>
        <v>933490099.29000008</v>
      </c>
      <c r="K115" s="22"/>
      <c r="L115" s="22">
        <v>972483609.41999996</v>
      </c>
    </row>
    <row r="116" spans="1:20" x14ac:dyDescent="0.4">
      <c r="A116" s="9"/>
      <c r="B116" s="9" t="s">
        <v>224</v>
      </c>
      <c r="D116" s="3"/>
      <c r="E116" s="3"/>
      <c r="F116" s="167">
        <f>+'Changed-Conso'!T42</f>
        <v>18773092.390000001</v>
      </c>
      <c r="G116" s="22"/>
      <c r="H116" s="167">
        <v>17740596.210000001</v>
      </c>
      <c r="I116" s="165"/>
      <c r="J116" s="167">
        <v>0</v>
      </c>
      <c r="K116" s="22"/>
      <c r="L116" s="167">
        <v>0</v>
      </c>
    </row>
    <row r="117" spans="1:20" x14ac:dyDescent="0.4">
      <c r="A117" s="9"/>
      <c r="B117" s="9"/>
      <c r="C117" s="9" t="s">
        <v>250</v>
      </c>
      <c r="D117" s="13"/>
      <c r="E117" s="13"/>
      <c r="F117" s="14">
        <f>SUM(F110:F116)</f>
        <v>2615997922.5899997</v>
      </c>
      <c r="G117" s="14"/>
      <c r="H117" s="14">
        <f>SUM(H110:H116)</f>
        <v>2612283677.3899999</v>
      </c>
      <c r="I117" s="165"/>
      <c r="J117" s="14">
        <f>SUM(J110:J116)</f>
        <v>2887664019.0299997</v>
      </c>
      <c r="K117" s="14"/>
      <c r="L117" s="14">
        <f>SUM(L110:L116)</f>
        <v>2926657529.1599998</v>
      </c>
    </row>
    <row r="118" spans="1:20" x14ac:dyDescent="0.4">
      <c r="A118" s="9"/>
      <c r="B118" s="9" t="s">
        <v>228</v>
      </c>
      <c r="C118" s="9"/>
      <c r="D118" s="13"/>
      <c r="E118" s="13"/>
      <c r="F118" s="179">
        <f>+'Changed-Conso'!X42</f>
        <v>62482145.910000004</v>
      </c>
      <c r="G118" s="168"/>
      <c r="H118" s="179">
        <v>62855854.490000002</v>
      </c>
      <c r="I118" s="165"/>
      <c r="J118" s="167">
        <v>0</v>
      </c>
      <c r="K118" s="22"/>
      <c r="L118" s="167">
        <v>0</v>
      </c>
    </row>
    <row r="119" spans="1:20" x14ac:dyDescent="0.4">
      <c r="A119" s="9"/>
      <c r="B119" s="9"/>
      <c r="C119" s="9" t="s">
        <v>251</v>
      </c>
      <c r="D119" s="13"/>
      <c r="E119" s="13"/>
      <c r="F119" s="14">
        <f>+F118+F117</f>
        <v>2678480068.4999995</v>
      </c>
      <c r="G119" s="14"/>
      <c r="H119" s="14">
        <f>+H118+H117</f>
        <v>2675139531.8799996</v>
      </c>
      <c r="I119" s="165"/>
      <c r="J119" s="14">
        <f>+J118+J117</f>
        <v>2887664019.0299997</v>
      </c>
      <c r="K119" s="14"/>
      <c r="L119" s="14">
        <f>+L118+L117</f>
        <v>2926657529.1599998</v>
      </c>
    </row>
    <row r="120" spans="1:20" ht="18.75" thickBot="1" x14ac:dyDescent="0.45">
      <c r="A120" s="18" t="s">
        <v>155</v>
      </c>
      <c r="B120" s="9"/>
      <c r="C120" s="9"/>
      <c r="D120" s="13"/>
      <c r="E120" s="13"/>
      <c r="F120" s="172">
        <f>+F119+F80</f>
        <v>3248442842.5599995</v>
      </c>
      <c r="G120" s="22"/>
      <c r="H120" s="172">
        <f>+H119+H80</f>
        <v>3117268556.7399998</v>
      </c>
      <c r="I120" s="165"/>
      <c r="J120" s="172">
        <f>+J119+J80</f>
        <v>3501655727.79</v>
      </c>
      <c r="K120" s="22"/>
      <c r="L120" s="172">
        <f>+L119+L80</f>
        <v>3383995714.5699997</v>
      </c>
      <c r="N120" s="1">
        <f>F120-F40</f>
        <v>0</v>
      </c>
      <c r="P120" s="1" t="e">
        <f>#REF!-#REF!</f>
        <v>#REF!</v>
      </c>
      <c r="R120" s="1">
        <f>J120-J40</f>
        <v>0</v>
      </c>
      <c r="T120" s="1" t="e">
        <f>#REF!-#REF!</f>
        <v>#REF!</v>
      </c>
    </row>
    <row r="121" spans="1:20" ht="18.75" thickTop="1" x14ac:dyDescent="0.4">
      <c r="A121" s="9"/>
      <c r="F121" s="180"/>
      <c r="G121" s="180"/>
      <c r="H121" s="180"/>
      <c r="I121" s="164"/>
      <c r="J121" s="4"/>
      <c r="K121" s="4"/>
      <c r="L121" s="4"/>
    </row>
    <row r="122" spans="1:20" x14ac:dyDescent="0.4">
      <c r="A122" s="15" t="s">
        <v>298</v>
      </c>
      <c r="B122" s="9"/>
      <c r="C122" s="9"/>
      <c r="D122" s="13"/>
      <c r="E122" s="13"/>
      <c r="F122" s="22"/>
      <c r="G122" s="22"/>
      <c r="H122" s="22"/>
      <c r="I122" s="165"/>
      <c r="J122" s="22"/>
      <c r="K122" s="22"/>
      <c r="L122" s="22"/>
    </row>
    <row r="123" spans="1:20" x14ac:dyDescent="0.4">
      <c r="A123" s="9"/>
      <c r="B123" s="9"/>
      <c r="C123" s="9"/>
      <c r="D123" s="13"/>
      <c r="E123" s="13"/>
      <c r="F123" s="17"/>
      <c r="G123" s="17"/>
      <c r="H123" s="17"/>
      <c r="I123" s="9"/>
      <c r="J123" s="17"/>
      <c r="K123" s="17"/>
      <c r="L123" s="17"/>
    </row>
    <row r="124" spans="1:20" x14ac:dyDescent="0.4">
      <c r="A124" s="9"/>
      <c r="B124" s="9"/>
      <c r="C124" s="9"/>
      <c r="D124" s="13"/>
      <c r="E124" s="13"/>
      <c r="F124" s="17"/>
      <c r="G124" s="17"/>
      <c r="H124" s="17"/>
      <c r="I124" s="9"/>
      <c r="J124" s="17"/>
      <c r="K124" s="17"/>
      <c r="L124" s="17"/>
    </row>
    <row r="125" spans="1:20" x14ac:dyDescent="0.4">
      <c r="A125" s="9"/>
      <c r="B125" s="9"/>
      <c r="C125" s="9"/>
      <c r="D125" s="13"/>
      <c r="E125" s="13"/>
      <c r="F125" s="17"/>
      <c r="G125" s="17"/>
      <c r="H125" s="17"/>
      <c r="I125" s="9"/>
      <c r="J125" s="17"/>
      <c r="K125" s="17"/>
      <c r="L125" s="17"/>
    </row>
    <row r="126" spans="1:20" x14ac:dyDescent="0.4">
      <c r="A126" s="9"/>
      <c r="B126" s="9"/>
      <c r="C126" s="9"/>
      <c r="D126" s="13"/>
      <c r="E126" s="13"/>
      <c r="F126" s="17"/>
      <c r="G126" s="17"/>
      <c r="H126" s="17"/>
      <c r="I126" s="9"/>
      <c r="J126" s="17"/>
      <c r="K126" s="17"/>
      <c r="L126" s="17"/>
    </row>
    <row r="127" spans="1:20" x14ac:dyDescent="0.4">
      <c r="A127" s="9"/>
      <c r="B127" s="9"/>
      <c r="C127" s="9"/>
      <c r="D127" s="13"/>
      <c r="E127" s="13"/>
      <c r="F127" s="17"/>
      <c r="G127" s="17"/>
      <c r="H127" s="17"/>
      <c r="I127" s="9"/>
      <c r="J127" s="17"/>
      <c r="K127" s="17"/>
      <c r="L127" s="17"/>
    </row>
    <row r="128" spans="1:20" x14ac:dyDescent="0.4">
      <c r="A128" s="9"/>
      <c r="B128" s="9"/>
      <c r="C128" s="9"/>
      <c r="D128" s="13"/>
      <c r="E128" s="13"/>
      <c r="F128" s="17"/>
      <c r="G128" s="17"/>
      <c r="H128" s="17"/>
      <c r="I128" s="9"/>
      <c r="J128" s="17"/>
      <c r="K128" s="17"/>
      <c r="L128" s="17"/>
    </row>
    <row r="129" spans="1:12" x14ac:dyDescent="0.4">
      <c r="A129" s="9"/>
      <c r="B129" s="9"/>
      <c r="C129" s="9"/>
      <c r="D129" s="13"/>
      <c r="E129" s="13"/>
      <c r="F129" s="17"/>
      <c r="G129" s="17"/>
      <c r="H129" s="17"/>
      <c r="I129" s="9"/>
      <c r="J129" s="17"/>
      <c r="K129" s="17"/>
      <c r="L129" s="17"/>
    </row>
    <row r="130" spans="1:12" x14ac:dyDescent="0.4">
      <c r="A130" s="9"/>
      <c r="B130" s="9"/>
      <c r="C130" s="9"/>
      <c r="D130" s="13"/>
      <c r="E130" s="13"/>
      <c r="F130" s="17"/>
      <c r="G130" s="17"/>
      <c r="H130" s="17"/>
      <c r="I130" s="9"/>
      <c r="J130" s="17"/>
      <c r="K130" s="17"/>
      <c r="L130" s="17"/>
    </row>
    <row r="131" spans="1:12" x14ac:dyDescent="0.4">
      <c r="B131" s="9"/>
      <c r="C131" s="9"/>
      <c r="D131" s="13"/>
      <c r="E131" s="13"/>
      <c r="F131" s="13"/>
      <c r="G131" s="13"/>
      <c r="H131" s="13"/>
      <c r="I131" s="9"/>
      <c r="J131" s="17"/>
      <c r="K131" s="17"/>
      <c r="L131" s="17"/>
    </row>
    <row r="132" spans="1:12" x14ac:dyDescent="0.4">
      <c r="A132" s="136"/>
      <c r="B132" s="9"/>
      <c r="C132" s="9"/>
      <c r="D132" s="13"/>
      <c r="E132" s="13"/>
      <c r="F132" s="13"/>
      <c r="G132" s="13"/>
      <c r="H132" s="13"/>
      <c r="I132" s="9"/>
      <c r="J132" s="17"/>
      <c r="K132" s="17"/>
      <c r="L132" s="17"/>
    </row>
    <row r="133" spans="1:12" x14ac:dyDescent="0.4">
      <c r="A133" s="136"/>
      <c r="B133" s="9"/>
      <c r="C133" s="9"/>
      <c r="D133" s="13"/>
      <c r="E133" s="13"/>
      <c r="F133" s="13"/>
      <c r="G133" s="13"/>
      <c r="H133" s="13"/>
      <c r="I133" s="9"/>
      <c r="J133" s="17"/>
      <c r="K133" s="17"/>
      <c r="L133" s="17"/>
    </row>
    <row r="134" spans="1:12" x14ac:dyDescent="0.4">
      <c r="A134" s="136"/>
      <c r="B134" s="9"/>
      <c r="C134" s="9"/>
      <c r="D134" s="13"/>
      <c r="E134" s="13"/>
      <c r="F134" s="13"/>
      <c r="G134" s="13"/>
      <c r="H134" s="13"/>
      <c r="I134" s="9"/>
      <c r="J134" s="17"/>
      <c r="K134" s="17"/>
      <c r="L134" s="17"/>
    </row>
    <row r="135" spans="1:12" x14ac:dyDescent="0.4">
      <c r="A135" s="136"/>
      <c r="B135" s="9"/>
      <c r="C135" s="9"/>
      <c r="D135" s="13"/>
      <c r="E135" s="13"/>
      <c r="F135" s="13"/>
      <c r="G135" s="13"/>
      <c r="H135" s="13"/>
      <c r="I135" s="9"/>
      <c r="J135" s="17"/>
      <c r="K135" s="17"/>
      <c r="L135" s="17"/>
    </row>
    <row r="136" spans="1:12" x14ac:dyDescent="0.4">
      <c r="C136" s="9"/>
      <c r="D136" s="13"/>
      <c r="E136" s="13"/>
      <c r="F136" s="13"/>
      <c r="G136" s="13"/>
      <c r="H136" s="13"/>
      <c r="I136" s="9"/>
      <c r="J136" s="17"/>
      <c r="K136" s="17"/>
      <c r="L136" s="17"/>
    </row>
    <row r="137" spans="1:12" x14ac:dyDescent="0.4">
      <c r="A137" s="13"/>
      <c r="B137" s="25" t="s">
        <v>144</v>
      </c>
      <c r="C137" s="13"/>
      <c r="D137" s="25"/>
      <c r="E137" s="13"/>
      <c r="F137" s="25" t="s">
        <v>144</v>
      </c>
      <c r="G137" s="25"/>
      <c r="H137" s="13"/>
      <c r="I137" s="13"/>
      <c r="J137" s="13"/>
      <c r="K137" s="13"/>
      <c r="L137" s="13"/>
    </row>
    <row r="138" spans="1:12" ht="17.25" customHeight="1" x14ac:dyDescent="0.4">
      <c r="A138" s="205"/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</row>
    <row r="139" spans="1:12" x14ac:dyDescent="0.4">
      <c r="A139" s="9"/>
      <c r="B139" s="9"/>
      <c r="C139" s="9"/>
      <c r="D139" s="166" t="s">
        <v>236</v>
      </c>
      <c r="E139" s="13"/>
      <c r="F139" s="22">
        <f>+F120-F40</f>
        <v>0</v>
      </c>
      <c r="G139" s="22"/>
      <c r="H139" s="22">
        <f>+H120-H40</f>
        <v>0</v>
      </c>
      <c r="I139" s="9"/>
      <c r="J139" s="22">
        <f>+J120-J40</f>
        <v>0</v>
      </c>
      <c r="K139" s="22"/>
      <c r="L139" s="22">
        <f>+L120-L40</f>
        <v>0</v>
      </c>
    </row>
  </sheetData>
  <mergeCells count="23">
    <mergeCell ref="A11:C11"/>
    <mergeCell ref="A5:L5"/>
    <mergeCell ref="A3:L3"/>
    <mergeCell ref="A4:L4"/>
    <mergeCell ref="F6:L6"/>
    <mergeCell ref="F7:H7"/>
    <mergeCell ref="J7:L7"/>
    <mergeCell ref="A138:L138"/>
    <mergeCell ref="A97:L97"/>
    <mergeCell ref="F99:L99"/>
    <mergeCell ref="A57:C57"/>
    <mergeCell ref="A93:L93"/>
    <mergeCell ref="A96:L96"/>
    <mergeCell ref="A98:L98"/>
    <mergeCell ref="F100:H100"/>
    <mergeCell ref="J100:L100"/>
    <mergeCell ref="F53:H53"/>
    <mergeCell ref="J53:L53"/>
    <mergeCell ref="A46:L46"/>
    <mergeCell ref="A49:L49"/>
    <mergeCell ref="F52:L52"/>
    <mergeCell ref="A50:L50"/>
    <mergeCell ref="A51:L51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6" max="15" man="1"/>
    <brk id="9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2"/>
  <sheetViews>
    <sheetView view="pageBreakPreview" zoomScaleNormal="100" zoomScaleSheetLayoutView="100" workbookViewId="0">
      <selection activeCell="C6" sqref="C6"/>
    </sheetView>
  </sheetViews>
  <sheetFormatPr defaultColWidth="9.140625" defaultRowHeight="18" x14ac:dyDescent="0.4"/>
  <cols>
    <col min="1" max="2" width="2.7109375" style="227" customWidth="1"/>
    <col min="3" max="3" width="41.5703125" style="227" customWidth="1"/>
    <col min="4" max="4" width="5.42578125" style="230" customWidth="1"/>
    <col min="5" max="5" width="0.85546875" style="230" customWidth="1"/>
    <col min="6" max="6" width="12.7109375" style="230" customWidth="1"/>
    <col min="7" max="7" width="0.85546875" style="230" customWidth="1"/>
    <col min="8" max="8" width="13.42578125" style="230" customWidth="1"/>
    <col min="9" max="9" width="0.85546875" style="227" customWidth="1"/>
    <col min="10" max="10" width="12.85546875" style="5" customWidth="1"/>
    <col min="11" max="11" width="0.85546875" style="227" customWidth="1"/>
    <col min="12" max="12" width="13.5703125" style="5" customWidth="1"/>
    <col min="13" max="13" width="2.7109375" style="3" customWidth="1"/>
    <col min="14" max="14" width="15.7109375" style="3" customWidth="1"/>
    <col min="15" max="15" width="2.7109375" style="3" customWidth="1"/>
    <col min="16" max="16" width="13.85546875" style="3" customWidth="1"/>
    <col min="17" max="17" width="2.7109375" style="3" customWidth="1"/>
    <col min="18" max="18" width="14.5703125" style="3" customWidth="1"/>
    <col min="19" max="19" width="5" style="3" customWidth="1"/>
    <col min="20" max="16384" width="9.140625" style="3"/>
  </cols>
  <sheetData>
    <row r="1" spans="1:14" ht="7.5" customHeight="1" x14ac:dyDescent="0.4">
      <c r="B1" s="228"/>
      <c r="C1" s="228"/>
      <c r="D1" s="32"/>
      <c r="E1" s="32"/>
      <c r="F1" s="17"/>
      <c r="G1" s="32"/>
      <c r="H1" s="17"/>
      <c r="I1" s="228"/>
      <c r="J1" s="17"/>
      <c r="K1" s="17"/>
      <c r="L1" s="229"/>
    </row>
    <row r="2" spans="1:14" x14ac:dyDescent="0.4">
      <c r="A2" s="209" t="s">
        <v>131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4" ht="18" customHeight="1" x14ac:dyDescent="0.4">
      <c r="A3" s="206" t="s">
        <v>156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14" ht="18" customHeight="1" x14ac:dyDescent="0.4">
      <c r="A4" s="206" t="s">
        <v>372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</row>
    <row r="5" spans="1:14" ht="16.5" customHeight="1" x14ac:dyDescent="0.4">
      <c r="A5" s="228"/>
      <c r="B5" s="228"/>
      <c r="C5" s="27"/>
      <c r="F5" s="231" t="s">
        <v>132</v>
      </c>
      <c r="G5" s="231"/>
      <c r="H5" s="231"/>
      <c r="I5" s="231"/>
      <c r="J5" s="231"/>
      <c r="K5" s="231"/>
      <c r="L5" s="231"/>
    </row>
    <row r="6" spans="1:14" ht="18.75" x14ac:dyDescent="0.4">
      <c r="A6" s="228"/>
      <c r="B6" s="228"/>
      <c r="C6" s="228" t="s">
        <v>4</v>
      </c>
      <c r="F6" s="232" t="s">
        <v>198</v>
      </c>
      <c r="G6" s="232"/>
      <c r="H6" s="232"/>
      <c r="I6" s="233"/>
      <c r="J6" s="232" t="s">
        <v>199</v>
      </c>
      <c r="K6" s="232"/>
      <c r="L6" s="232"/>
    </row>
    <row r="7" spans="1:14" x14ac:dyDescent="0.4">
      <c r="A7" s="228"/>
      <c r="B7" s="228"/>
      <c r="C7" s="228"/>
      <c r="F7" s="234" t="s">
        <v>334</v>
      </c>
      <c r="G7" s="234"/>
      <c r="H7" s="234"/>
      <c r="J7" s="234" t="str">
        <f>+F7</f>
        <v>For the six-month period ended June 30</v>
      </c>
      <c r="K7" s="234"/>
      <c r="L7" s="234"/>
    </row>
    <row r="8" spans="1:14" x14ac:dyDescent="0.4">
      <c r="A8" s="228"/>
      <c r="B8" s="228"/>
      <c r="C8" s="228"/>
      <c r="D8" s="235" t="s">
        <v>133</v>
      </c>
      <c r="F8" s="235">
        <v>2023</v>
      </c>
      <c r="H8" s="235">
        <v>2022</v>
      </c>
      <c r="I8" s="230"/>
      <c r="J8" s="235">
        <f>+F8</f>
        <v>2023</v>
      </c>
      <c r="K8" s="230"/>
      <c r="L8" s="235">
        <f>+H8</f>
        <v>2022</v>
      </c>
    </row>
    <row r="9" spans="1:14" x14ac:dyDescent="0.4">
      <c r="A9" s="236" t="s">
        <v>157</v>
      </c>
      <c r="B9" s="228"/>
      <c r="C9" s="228"/>
      <c r="D9" s="237"/>
      <c r="E9" s="237"/>
      <c r="F9" s="238"/>
      <c r="G9" s="238"/>
      <c r="H9" s="238"/>
      <c r="I9" s="238"/>
      <c r="J9" s="11"/>
      <c r="K9" s="228"/>
      <c r="L9" s="11"/>
    </row>
    <row r="10" spans="1:14" x14ac:dyDescent="0.4">
      <c r="A10" s="228"/>
      <c r="B10" s="228" t="s">
        <v>220</v>
      </c>
      <c r="C10" s="228"/>
      <c r="D10" s="237"/>
      <c r="E10" s="237"/>
      <c r="F10" s="171">
        <v>36236600.289999999</v>
      </c>
      <c r="G10" s="239"/>
      <c r="H10" s="171">
        <v>41116720.829999998</v>
      </c>
      <c r="I10" s="239"/>
      <c r="J10" s="22">
        <v>35380274.270000003</v>
      </c>
      <c r="K10" s="240"/>
      <c r="L10" s="22">
        <v>10428359.550000001</v>
      </c>
      <c r="M10" s="7"/>
      <c r="N10" s="7"/>
    </row>
    <row r="11" spans="1:14" x14ac:dyDescent="0.4">
      <c r="A11" s="228"/>
      <c r="B11" s="228" t="s">
        <v>388</v>
      </c>
      <c r="C11" s="228"/>
      <c r="D11" s="237"/>
      <c r="E11" s="237"/>
      <c r="F11" s="171">
        <v>3218558.67</v>
      </c>
      <c r="G11" s="239"/>
      <c r="H11" s="171">
        <v>1966126</v>
      </c>
      <c r="I11" s="239"/>
      <c r="J11" s="14">
        <v>3218558.67</v>
      </c>
      <c r="K11" s="240"/>
      <c r="L11" s="14">
        <v>1966126</v>
      </c>
      <c r="M11" s="7"/>
      <c r="N11" s="7"/>
    </row>
    <row r="12" spans="1:14" x14ac:dyDescent="0.4">
      <c r="A12" s="228"/>
      <c r="B12" s="228" t="s">
        <v>340</v>
      </c>
      <c r="C12" s="228"/>
      <c r="D12" s="237">
        <v>6</v>
      </c>
      <c r="E12" s="237"/>
      <c r="F12" s="171">
        <v>0</v>
      </c>
      <c r="G12" s="239"/>
      <c r="H12" s="171">
        <v>115736009.66</v>
      </c>
      <c r="I12" s="239"/>
      <c r="J12" s="14">
        <v>4284.75</v>
      </c>
      <c r="K12" s="240"/>
      <c r="L12" s="14">
        <v>197972.13</v>
      </c>
      <c r="M12" s="7"/>
      <c r="N12" s="7"/>
    </row>
    <row r="13" spans="1:14" x14ac:dyDescent="0.4">
      <c r="A13" s="228"/>
      <c r="B13" s="228" t="s">
        <v>209</v>
      </c>
      <c r="C13" s="228"/>
      <c r="D13" s="237"/>
      <c r="E13" s="237"/>
      <c r="F13" s="171">
        <v>5000000</v>
      </c>
      <c r="G13" s="239"/>
      <c r="H13" s="171">
        <v>4577046.68</v>
      </c>
      <c r="I13" s="239"/>
      <c r="J13" s="14">
        <v>5000000</v>
      </c>
      <c r="K13" s="240"/>
      <c r="L13" s="14">
        <v>3518937.9</v>
      </c>
      <c r="M13" s="7"/>
      <c r="N13" s="7"/>
    </row>
    <row r="14" spans="1:14" x14ac:dyDescent="0.4">
      <c r="A14" s="228"/>
      <c r="B14" s="228" t="s">
        <v>159</v>
      </c>
      <c r="C14" s="228"/>
      <c r="D14" s="237"/>
      <c r="E14" s="237"/>
      <c r="F14" s="171">
        <v>18022372.989999998</v>
      </c>
      <c r="G14" s="239"/>
      <c r="H14" s="171">
        <v>23719211.059999999</v>
      </c>
      <c r="I14" s="239"/>
      <c r="J14" s="22">
        <v>47061981.909999996</v>
      </c>
      <c r="K14" s="240"/>
      <c r="L14" s="22">
        <v>55082488.869999997</v>
      </c>
      <c r="M14" s="7"/>
      <c r="N14" s="7"/>
    </row>
    <row r="15" spans="1:14" x14ac:dyDescent="0.4">
      <c r="A15" s="228"/>
      <c r="B15" s="228" t="s">
        <v>158</v>
      </c>
      <c r="C15" s="228"/>
      <c r="D15" s="237"/>
      <c r="E15" s="237"/>
      <c r="F15" s="241"/>
      <c r="G15" s="241"/>
      <c r="H15" s="241"/>
      <c r="I15" s="241"/>
      <c r="J15" s="14"/>
      <c r="K15" s="240"/>
      <c r="L15" s="14"/>
      <c r="M15" s="7"/>
      <c r="N15" s="7"/>
    </row>
    <row r="16" spans="1:14" x14ac:dyDescent="0.4">
      <c r="A16" s="228"/>
      <c r="B16" s="228"/>
      <c r="C16" s="228" t="s">
        <v>336</v>
      </c>
      <c r="D16" s="237"/>
      <c r="E16" s="237"/>
      <c r="F16" s="241">
        <v>0</v>
      </c>
      <c r="G16" s="241"/>
      <c r="H16" s="241">
        <v>760000</v>
      </c>
      <c r="I16" s="241"/>
      <c r="J16" s="14">
        <v>0</v>
      </c>
      <c r="K16" s="240"/>
      <c r="L16" s="14">
        <v>760000</v>
      </c>
      <c r="M16" s="7"/>
      <c r="N16" s="7"/>
    </row>
    <row r="17" spans="1:14" x14ac:dyDescent="0.4">
      <c r="A17" s="228"/>
      <c r="B17" s="228"/>
      <c r="C17" s="228" t="s">
        <v>386</v>
      </c>
      <c r="D17" s="237">
        <v>10</v>
      </c>
      <c r="E17" s="237"/>
      <c r="F17" s="241">
        <v>3000100</v>
      </c>
      <c r="G17" s="241"/>
      <c r="H17" s="241">
        <v>0</v>
      </c>
      <c r="I17" s="241"/>
      <c r="J17" s="14">
        <v>3000100</v>
      </c>
      <c r="K17" s="240"/>
      <c r="L17" s="14">
        <v>0</v>
      </c>
      <c r="M17" s="7"/>
      <c r="N17" s="7"/>
    </row>
    <row r="18" spans="1:14" x14ac:dyDescent="0.4">
      <c r="A18" s="228"/>
      <c r="B18" s="228"/>
      <c r="C18" s="228" t="s">
        <v>296</v>
      </c>
      <c r="D18" s="242"/>
      <c r="E18" s="237"/>
      <c r="F18" s="14">
        <v>51937254.43</v>
      </c>
      <c r="G18" s="239"/>
      <c r="H18" s="14">
        <v>119478344.66</v>
      </c>
      <c r="I18" s="239"/>
      <c r="J18" s="14">
        <v>52851574.740000002</v>
      </c>
      <c r="K18" s="240"/>
      <c r="L18" s="14">
        <v>122890817.27</v>
      </c>
      <c r="M18" s="7"/>
      <c r="N18" s="7"/>
    </row>
    <row r="19" spans="1:14" x14ac:dyDescent="0.4">
      <c r="A19" s="228"/>
      <c r="B19" s="228"/>
      <c r="C19" s="228" t="s">
        <v>374</v>
      </c>
      <c r="D19" s="242">
        <v>6</v>
      </c>
      <c r="E19" s="237"/>
      <c r="F19" s="14">
        <v>98724559.209999993</v>
      </c>
      <c r="G19" s="239"/>
      <c r="H19" s="14">
        <v>0</v>
      </c>
      <c r="I19" s="239"/>
      <c r="J19" s="14">
        <v>76866.179999999993</v>
      </c>
      <c r="K19" s="240"/>
      <c r="L19" s="14">
        <v>0</v>
      </c>
      <c r="M19" s="7"/>
      <c r="N19" s="7"/>
    </row>
    <row r="20" spans="1:14" x14ac:dyDescent="0.4">
      <c r="A20" s="228"/>
      <c r="B20" s="228"/>
      <c r="C20" s="228" t="s">
        <v>137</v>
      </c>
      <c r="D20" s="243"/>
      <c r="E20" s="243"/>
      <c r="F20" s="171">
        <v>267316.15000000002</v>
      </c>
      <c r="G20" s="239"/>
      <c r="H20" s="171">
        <v>502178.06</v>
      </c>
      <c r="I20" s="239"/>
      <c r="J20" s="14">
        <v>267288.49</v>
      </c>
      <c r="K20" s="240"/>
      <c r="L20" s="14">
        <v>500827.06</v>
      </c>
      <c r="M20" s="7"/>
      <c r="N20" s="7"/>
    </row>
    <row r="21" spans="1:14" x14ac:dyDescent="0.4">
      <c r="A21" s="228"/>
      <c r="B21" s="228"/>
      <c r="C21" s="228" t="s">
        <v>160</v>
      </c>
      <c r="D21" s="237"/>
      <c r="E21" s="237"/>
      <c r="F21" s="170">
        <f>SUM(F10:F20)</f>
        <v>216406761.73999998</v>
      </c>
      <c r="G21" s="239"/>
      <c r="H21" s="170">
        <f>SUM(H10:H20)</f>
        <v>307855636.94999999</v>
      </c>
      <c r="I21" s="239"/>
      <c r="J21" s="170">
        <f>SUM(J10:J20)</f>
        <v>146860929.01000002</v>
      </c>
      <c r="K21" s="240"/>
      <c r="L21" s="170">
        <f>SUM(L10:L20)</f>
        <v>195345528.78</v>
      </c>
      <c r="M21" s="7"/>
      <c r="N21" s="7"/>
    </row>
    <row r="22" spans="1:14" ht="6" customHeight="1" x14ac:dyDescent="0.4">
      <c r="A22" s="228"/>
      <c r="B22" s="228"/>
      <c r="C22" s="228"/>
      <c r="D22" s="237"/>
      <c r="E22" s="237"/>
      <c r="F22" s="239"/>
      <c r="G22" s="239"/>
      <c r="H22" s="239"/>
      <c r="I22" s="239"/>
      <c r="J22" s="239"/>
      <c r="K22" s="240"/>
      <c r="L22" s="239"/>
      <c r="M22" s="7"/>
      <c r="N22" s="7"/>
    </row>
    <row r="23" spans="1:14" x14ac:dyDescent="0.4">
      <c r="A23" s="228" t="s">
        <v>161</v>
      </c>
      <c r="B23" s="228"/>
      <c r="C23" s="228"/>
      <c r="D23" s="237"/>
      <c r="E23" s="237"/>
      <c r="F23" s="239"/>
      <c r="G23" s="239"/>
      <c r="H23" s="239"/>
      <c r="I23" s="239"/>
      <c r="J23" s="14"/>
      <c r="K23" s="240"/>
      <c r="L23" s="14"/>
      <c r="M23" s="7"/>
      <c r="N23" s="7"/>
    </row>
    <row r="24" spans="1:14" x14ac:dyDescent="0.4">
      <c r="A24" s="228"/>
      <c r="B24" s="228" t="s">
        <v>241</v>
      </c>
      <c r="C24" s="228"/>
      <c r="D24" s="237"/>
      <c r="E24" s="237"/>
      <c r="F24" s="239">
        <v>29861767.780000001</v>
      </c>
      <c r="G24" s="239"/>
      <c r="H24" s="239">
        <v>38419202.390000001</v>
      </c>
      <c r="I24" s="239"/>
      <c r="J24" s="14">
        <v>31394618.449999999</v>
      </c>
      <c r="K24" s="240"/>
      <c r="L24" s="14">
        <v>26156756.140000001</v>
      </c>
      <c r="M24" s="7"/>
      <c r="N24" s="7"/>
    </row>
    <row r="25" spans="1:14" x14ac:dyDescent="0.4">
      <c r="A25" s="228"/>
      <c r="B25" s="228" t="s">
        <v>205</v>
      </c>
      <c r="C25" s="228"/>
      <c r="D25" s="244"/>
      <c r="E25" s="244"/>
      <c r="F25" s="239">
        <v>52194994.009999998</v>
      </c>
      <c r="G25" s="239"/>
      <c r="H25" s="239">
        <v>48473993.939999998</v>
      </c>
      <c r="I25" s="239"/>
      <c r="J25" s="14">
        <v>39710378.100000001</v>
      </c>
      <c r="K25" s="240"/>
      <c r="L25" s="14">
        <v>41835965.840000004</v>
      </c>
      <c r="M25" s="7"/>
      <c r="N25" s="7"/>
    </row>
    <row r="26" spans="1:14" x14ac:dyDescent="0.4">
      <c r="A26" s="228"/>
      <c r="B26" s="228" t="s">
        <v>330</v>
      </c>
      <c r="C26" s="228"/>
      <c r="D26" s="237">
        <v>8.4</v>
      </c>
      <c r="E26" s="244"/>
      <c r="F26" s="239">
        <v>54548718.310000002</v>
      </c>
      <c r="G26" s="239"/>
      <c r="H26" s="239">
        <v>92428932.260000005</v>
      </c>
      <c r="I26" s="239"/>
      <c r="J26" s="14">
        <v>33838584.799999997</v>
      </c>
      <c r="K26" s="240"/>
      <c r="L26" s="14">
        <v>42111788.789999999</v>
      </c>
      <c r="M26" s="7"/>
      <c r="N26" s="7"/>
    </row>
    <row r="27" spans="1:14" x14ac:dyDescent="0.4">
      <c r="A27" s="228"/>
      <c r="B27" s="228" t="s">
        <v>387</v>
      </c>
      <c r="C27" s="228"/>
      <c r="D27" s="245">
        <v>6</v>
      </c>
      <c r="E27" s="244"/>
      <c r="F27" s="239">
        <v>906320.57</v>
      </c>
      <c r="G27" s="239"/>
      <c r="H27" s="239">
        <v>0</v>
      </c>
      <c r="I27" s="239"/>
      <c r="J27" s="14">
        <v>0</v>
      </c>
      <c r="K27" s="240"/>
      <c r="L27" s="14">
        <v>0</v>
      </c>
      <c r="M27" s="7"/>
      <c r="N27" s="7"/>
    </row>
    <row r="28" spans="1:14" x14ac:dyDescent="0.4">
      <c r="A28" s="228"/>
      <c r="B28" s="228" t="s">
        <v>337</v>
      </c>
      <c r="C28" s="228"/>
      <c r="D28" s="245"/>
      <c r="E28" s="244"/>
      <c r="F28" s="239">
        <v>0</v>
      </c>
      <c r="G28" s="239"/>
      <c r="H28" s="239">
        <v>434162086.55000001</v>
      </c>
      <c r="I28" s="239"/>
      <c r="J28" s="14">
        <v>0</v>
      </c>
      <c r="K28" s="240"/>
      <c r="L28" s="14">
        <v>72488.13</v>
      </c>
      <c r="M28" s="7"/>
      <c r="N28" s="7"/>
    </row>
    <row r="29" spans="1:14" x14ac:dyDescent="0.4">
      <c r="A29" s="228"/>
      <c r="B29" s="228"/>
      <c r="C29" s="246" t="s">
        <v>333</v>
      </c>
      <c r="D29" s="237"/>
      <c r="E29" s="237"/>
      <c r="F29" s="170">
        <f>SUM(F24:F28)</f>
        <v>137511800.66999999</v>
      </c>
      <c r="G29" s="171"/>
      <c r="H29" s="170">
        <f>SUM(H24:H28)</f>
        <v>613484215.13999999</v>
      </c>
      <c r="I29" s="171"/>
      <c r="J29" s="170">
        <f>SUM(J24:J28)</f>
        <v>104943581.34999999</v>
      </c>
      <c r="K29" s="14"/>
      <c r="L29" s="170">
        <f>SUM(L24:L28)</f>
        <v>110176998.90000001</v>
      </c>
      <c r="M29" s="7"/>
      <c r="N29" s="7"/>
    </row>
    <row r="30" spans="1:14" x14ac:dyDescent="0.4">
      <c r="A30" s="228"/>
      <c r="B30" s="228" t="s">
        <v>331</v>
      </c>
      <c r="C30" s="228"/>
      <c r="D30" s="237"/>
      <c r="E30" s="237"/>
      <c r="F30" s="239">
        <f>+F21-F29</f>
        <v>78894961.069999993</v>
      </c>
      <c r="G30" s="239"/>
      <c r="H30" s="239">
        <f>+H21-H29</f>
        <v>-305628578.19</v>
      </c>
      <c r="I30" s="239"/>
      <c r="J30" s="239">
        <f>+J21-J29</f>
        <v>41917347.660000026</v>
      </c>
      <c r="K30" s="240"/>
      <c r="L30" s="239">
        <f>+L21-L29</f>
        <v>85168529.879999995</v>
      </c>
      <c r="M30" s="7"/>
      <c r="N30" s="7"/>
    </row>
    <row r="31" spans="1:14" x14ac:dyDescent="0.4">
      <c r="A31" s="228"/>
      <c r="B31" s="228" t="s">
        <v>206</v>
      </c>
      <c r="C31" s="228"/>
      <c r="D31" s="247"/>
      <c r="E31" s="244"/>
      <c r="F31" s="248">
        <v>5219442.4800000004</v>
      </c>
      <c r="G31" s="239"/>
      <c r="H31" s="248">
        <v>5232499.96</v>
      </c>
      <c r="I31" s="239"/>
      <c r="J31" s="167">
        <v>5591360.2999999998</v>
      </c>
      <c r="K31" s="240"/>
      <c r="L31" s="167">
        <v>5634171.1900000004</v>
      </c>
      <c r="M31" s="7"/>
      <c r="N31" s="7"/>
    </row>
    <row r="32" spans="1:14" x14ac:dyDescent="0.4">
      <c r="A32" s="228" t="s">
        <v>245</v>
      </c>
      <c r="B32" s="228"/>
      <c r="C32" s="228"/>
      <c r="D32" s="32"/>
      <c r="E32" s="32"/>
      <c r="F32" s="14">
        <f>+F30-F31</f>
        <v>73675518.589999989</v>
      </c>
      <c r="G32" s="171"/>
      <c r="H32" s="14">
        <f>+H30-H31</f>
        <v>-310861078.14999998</v>
      </c>
      <c r="I32" s="171"/>
      <c r="J32" s="14">
        <f>+J30-J31</f>
        <v>36325987.360000029</v>
      </c>
      <c r="K32" s="240"/>
      <c r="L32" s="14">
        <f>+L30-L31</f>
        <v>79534358.689999998</v>
      </c>
      <c r="M32" s="7"/>
      <c r="N32" s="7"/>
    </row>
    <row r="33" spans="1:14" x14ac:dyDescent="0.4">
      <c r="A33" s="228" t="s">
        <v>260</v>
      </c>
      <c r="B33" s="228"/>
      <c r="C33" s="228"/>
      <c r="D33" s="230">
        <v>15.2</v>
      </c>
      <c r="F33" s="181">
        <v>-1505237.97</v>
      </c>
      <c r="G33" s="239"/>
      <c r="H33" s="181">
        <v>-1247896.8700000001</v>
      </c>
      <c r="I33" s="239"/>
      <c r="J33" s="167">
        <v>-5457257.3099999996</v>
      </c>
      <c r="K33" s="14"/>
      <c r="L33" s="167">
        <v>-3468280.14</v>
      </c>
      <c r="M33" s="7"/>
      <c r="N33" s="7"/>
    </row>
    <row r="34" spans="1:14" ht="18.75" thickBot="1" x14ac:dyDescent="0.45">
      <c r="A34" s="249" t="s">
        <v>162</v>
      </c>
      <c r="B34" s="228"/>
      <c r="C34" s="228"/>
      <c r="D34" s="237"/>
      <c r="E34" s="237"/>
      <c r="F34" s="250">
        <f>SUM(F32:F33)</f>
        <v>72170280.61999999</v>
      </c>
      <c r="G34" s="239"/>
      <c r="H34" s="250">
        <f>SUM(H32:H33)</f>
        <v>-312108975.01999998</v>
      </c>
      <c r="I34" s="239"/>
      <c r="J34" s="250">
        <f>SUM(J32:J33)</f>
        <v>30868730.050000031</v>
      </c>
      <c r="K34" s="14"/>
      <c r="L34" s="250">
        <f>SUM(L32:L33)</f>
        <v>76066078.549999997</v>
      </c>
      <c r="M34" s="7"/>
      <c r="N34" s="7"/>
    </row>
    <row r="35" spans="1:14" ht="6.75" customHeight="1" thickTop="1" x14ac:dyDescent="0.4">
      <c r="A35" s="249"/>
      <c r="B35" s="228"/>
      <c r="C35" s="228"/>
      <c r="D35" s="237"/>
      <c r="E35" s="237"/>
      <c r="F35" s="239"/>
      <c r="G35" s="239"/>
      <c r="H35" s="239"/>
      <c r="I35" s="239"/>
      <c r="J35" s="239"/>
      <c r="K35" s="14"/>
      <c r="L35" s="239"/>
      <c r="M35" s="7"/>
      <c r="N35" s="7"/>
    </row>
    <row r="36" spans="1:14" ht="18.75" x14ac:dyDescent="0.4">
      <c r="A36" s="251" t="s">
        <v>231</v>
      </c>
      <c r="B36" s="252"/>
      <c r="C36" s="251"/>
      <c r="D36" s="237"/>
      <c r="E36" s="237"/>
      <c r="F36" s="239"/>
      <c r="G36" s="239"/>
      <c r="H36" s="239"/>
      <c r="I36" s="239"/>
      <c r="J36" s="239"/>
      <c r="K36" s="14"/>
      <c r="L36" s="239"/>
      <c r="M36" s="7"/>
      <c r="N36" s="7"/>
    </row>
    <row r="37" spans="1:14" ht="18.75" x14ac:dyDescent="0.4">
      <c r="A37" s="251"/>
      <c r="B37" s="249" t="s">
        <v>232</v>
      </c>
      <c r="C37" s="251"/>
      <c r="D37" s="237"/>
      <c r="E37" s="237"/>
      <c r="F37" s="239">
        <f>+F34-F38</f>
        <v>72543989.199999988</v>
      </c>
      <c r="G37" s="239"/>
      <c r="H37" s="239">
        <f>+H34-H38</f>
        <v>-311810227.47999996</v>
      </c>
      <c r="I37" s="239"/>
      <c r="J37" s="239">
        <f>J34</f>
        <v>30868730.050000031</v>
      </c>
      <c r="K37" s="239"/>
      <c r="L37" s="239">
        <f>L34</f>
        <v>76066078.549999997</v>
      </c>
      <c r="M37" s="7"/>
      <c r="N37" s="7"/>
    </row>
    <row r="38" spans="1:14" ht="18.75" x14ac:dyDescent="0.4">
      <c r="A38" s="249"/>
      <c r="B38" s="228" t="s">
        <v>228</v>
      </c>
      <c r="C38" s="228"/>
      <c r="D38" s="237"/>
      <c r="E38" s="237"/>
      <c r="F38" s="248">
        <v>-373708.58</v>
      </c>
      <c r="G38" s="22"/>
      <c r="H38" s="248">
        <v>-298747.53999999998</v>
      </c>
      <c r="I38" s="22"/>
      <c r="J38" s="183">
        <v>0</v>
      </c>
      <c r="K38" s="182"/>
      <c r="L38" s="183">
        <v>0</v>
      </c>
      <c r="M38" s="7"/>
      <c r="N38" s="7"/>
    </row>
    <row r="39" spans="1:14" ht="18.75" thickBot="1" x14ac:dyDescent="0.45">
      <c r="A39" s="228"/>
      <c r="B39" s="228"/>
      <c r="C39" s="228"/>
      <c r="D39" s="32"/>
      <c r="E39" s="32"/>
      <c r="F39" s="172">
        <f>SUM(F37:F38)</f>
        <v>72170280.61999999</v>
      </c>
      <c r="G39" s="171"/>
      <c r="H39" s="172">
        <f>SUM(H37:H38)</f>
        <v>-312108975.01999998</v>
      </c>
      <c r="I39" s="171"/>
      <c r="J39" s="172">
        <f>SUM(J37:J38)</f>
        <v>30868730.050000031</v>
      </c>
      <c r="K39" s="240"/>
      <c r="L39" s="172">
        <f>SUM(L37:L38)</f>
        <v>76066078.549999997</v>
      </c>
      <c r="M39" s="7"/>
      <c r="N39" s="7"/>
    </row>
    <row r="40" spans="1:14" ht="5.25" customHeight="1" thickTop="1" x14ac:dyDescent="0.4">
      <c r="A40" s="228"/>
      <c r="B40" s="228"/>
      <c r="C40" s="228"/>
      <c r="D40" s="237"/>
      <c r="E40" s="237"/>
      <c r="F40" s="239"/>
      <c r="G40" s="239"/>
      <c r="H40" s="239"/>
      <c r="I40" s="239"/>
      <c r="J40" s="22"/>
      <c r="K40" s="240"/>
      <c r="L40" s="22"/>
      <c r="M40" s="7"/>
      <c r="N40" s="7"/>
    </row>
    <row r="41" spans="1:14" ht="15" customHeight="1" x14ac:dyDescent="0.4">
      <c r="A41" s="249" t="s">
        <v>238</v>
      </c>
      <c r="B41" s="228"/>
      <c r="C41" s="228"/>
      <c r="D41" s="253"/>
      <c r="E41" s="237"/>
      <c r="F41" s="239"/>
      <c r="G41" s="239"/>
      <c r="H41" s="239"/>
      <c r="I41" s="239"/>
      <c r="J41" s="22"/>
      <c r="K41" s="240"/>
      <c r="L41" s="22"/>
      <c r="M41" s="7"/>
      <c r="N41" s="7"/>
    </row>
    <row r="42" spans="1:14" ht="18.75" thickBot="1" x14ac:dyDescent="0.45">
      <c r="A42" s="228"/>
      <c r="B42" s="249" t="s">
        <v>202</v>
      </c>
      <c r="C42" s="228"/>
      <c r="D42" s="237">
        <v>23</v>
      </c>
      <c r="E42" s="237"/>
      <c r="F42" s="203">
        <f>+F37/F43</f>
        <v>7.7876935066256182E-3</v>
      </c>
      <c r="G42" s="254"/>
      <c r="H42" s="203">
        <f>+H37/H43</f>
        <v>-3.6284755987566746E-2</v>
      </c>
      <c r="I42" s="254"/>
      <c r="J42" s="203">
        <f>+J37/J43</f>
        <v>3.3137991337284273E-3</v>
      </c>
      <c r="K42" s="255"/>
      <c r="L42" s="203">
        <f>+L37/L43</f>
        <v>8.851663145959086E-3</v>
      </c>
      <c r="M42" s="7"/>
      <c r="N42" s="4"/>
    </row>
    <row r="43" spans="1:14" ht="19.5" thickTop="1" thickBot="1" x14ac:dyDescent="0.45">
      <c r="A43" s="228"/>
      <c r="B43" s="249" t="s">
        <v>163</v>
      </c>
      <c r="C43" s="228"/>
      <c r="D43" s="237"/>
      <c r="E43" s="237"/>
      <c r="F43" s="187">
        <v>9315208558</v>
      </c>
      <c r="G43" s="256"/>
      <c r="H43" s="187">
        <v>8593422196</v>
      </c>
      <c r="I43" s="256"/>
      <c r="J43" s="187">
        <v>9315208558</v>
      </c>
      <c r="K43" s="256"/>
      <c r="L43" s="187">
        <v>8593422196</v>
      </c>
      <c r="M43" s="7"/>
      <c r="N43" s="4"/>
    </row>
    <row r="44" spans="1:14" ht="6.75" customHeight="1" thickTop="1" x14ac:dyDescent="0.4">
      <c r="A44" s="228"/>
      <c r="B44" s="228"/>
      <c r="C44" s="228"/>
      <c r="D44" s="237"/>
      <c r="E44" s="237"/>
      <c r="F44" s="241"/>
      <c r="G44" s="241"/>
      <c r="H44" s="241"/>
      <c r="I44" s="241"/>
      <c r="J44" s="14"/>
      <c r="K44" s="240"/>
      <c r="L44" s="14"/>
      <c r="M44" s="7"/>
      <c r="N44" s="4"/>
    </row>
    <row r="45" spans="1:14" ht="14.45" customHeight="1" x14ac:dyDescent="0.4">
      <c r="A45" s="249" t="s">
        <v>239</v>
      </c>
      <c r="B45" s="228"/>
      <c r="C45" s="228"/>
      <c r="D45" s="253"/>
      <c r="E45" s="237"/>
      <c r="F45" s="239"/>
      <c r="G45" s="239"/>
      <c r="H45" s="239"/>
      <c r="I45" s="239"/>
      <c r="J45" s="22"/>
      <c r="K45" s="240"/>
      <c r="L45" s="22"/>
      <c r="M45" s="7"/>
      <c r="N45" s="7"/>
    </row>
    <row r="46" spans="1:14" ht="18.75" thickBot="1" x14ac:dyDescent="0.45">
      <c r="A46" s="228"/>
      <c r="B46" s="249" t="s">
        <v>202</v>
      </c>
      <c r="C46" s="228"/>
      <c r="D46" s="237">
        <v>23</v>
      </c>
      <c r="E46" s="237"/>
      <c r="F46" s="203">
        <f>+F37/F47</f>
        <v>9.6245483916416151E-3</v>
      </c>
      <c r="G46" s="254"/>
      <c r="H46" s="203">
        <f>+H37/H47</f>
        <v>-3.3790247525823193E-2</v>
      </c>
      <c r="I46" s="254"/>
      <c r="J46" s="203">
        <f>+J37/J47</f>
        <v>4.0954128581992431E-3</v>
      </c>
      <c r="K46" s="255"/>
      <c r="L46" s="203">
        <f>+L37/L47</f>
        <v>8.2431280182689737E-3</v>
      </c>
      <c r="M46" s="7"/>
      <c r="N46" s="4"/>
    </row>
    <row r="47" spans="1:14" ht="19.5" thickTop="1" thickBot="1" x14ac:dyDescent="0.45">
      <c r="A47" s="228"/>
      <c r="B47" s="249" t="s">
        <v>163</v>
      </c>
      <c r="C47" s="228"/>
      <c r="D47" s="237"/>
      <c r="E47" s="237"/>
      <c r="F47" s="257">
        <v>7537391496</v>
      </c>
      <c r="G47" s="258"/>
      <c r="H47" s="257">
        <v>9227817205</v>
      </c>
      <c r="I47" s="258"/>
      <c r="J47" s="187">
        <v>7537391496</v>
      </c>
      <c r="K47" s="256"/>
      <c r="L47" s="187">
        <v>9227817205</v>
      </c>
      <c r="M47" s="7"/>
      <c r="N47" s="4"/>
    </row>
    <row r="48" spans="1:14" ht="6.75" customHeight="1" thickTop="1" x14ac:dyDescent="0.4">
      <c r="A48" s="228"/>
      <c r="B48" s="228"/>
      <c r="C48" s="228"/>
      <c r="D48" s="237"/>
      <c r="E48" s="237"/>
      <c r="F48" s="237"/>
      <c r="G48" s="237"/>
      <c r="H48" s="237"/>
      <c r="I48" s="228"/>
      <c r="J48" s="11"/>
      <c r="K48" s="228"/>
      <c r="L48" s="11"/>
      <c r="M48" s="7"/>
      <c r="N48" s="4"/>
    </row>
    <row r="49" spans="1:14" x14ac:dyDescent="0.4">
      <c r="A49" s="243" t="s">
        <v>298</v>
      </c>
      <c r="B49" s="228"/>
      <c r="C49" s="228"/>
      <c r="D49" s="237"/>
      <c r="E49" s="237"/>
      <c r="F49" s="22"/>
      <c r="G49" s="22"/>
      <c r="H49" s="22"/>
      <c r="I49" s="228"/>
      <c r="J49" s="11"/>
      <c r="K49" s="228"/>
      <c r="L49" s="11"/>
      <c r="M49" s="7"/>
      <c r="N49" s="4"/>
    </row>
    <row r="50" spans="1:14" ht="16.5" customHeight="1" x14ac:dyDescent="0.4">
      <c r="A50" s="228"/>
      <c r="B50" s="228"/>
      <c r="C50" s="228"/>
      <c r="D50" s="237"/>
      <c r="E50" s="237"/>
      <c r="F50" s="237"/>
      <c r="G50" s="237"/>
      <c r="H50" s="237"/>
      <c r="I50" s="228"/>
      <c r="J50" s="11"/>
      <c r="K50" s="228"/>
      <c r="L50" s="11"/>
      <c r="M50" s="7"/>
      <c r="N50" s="4"/>
    </row>
    <row r="51" spans="1:14" ht="16.5" customHeight="1" x14ac:dyDescent="0.4">
      <c r="A51" s="228"/>
      <c r="B51" s="228"/>
      <c r="C51" s="228"/>
      <c r="D51" s="237"/>
      <c r="E51" s="237"/>
      <c r="F51" s="237"/>
      <c r="G51" s="237"/>
      <c r="H51" s="237"/>
      <c r="I51" s="228"/>
      <c r="J51" s="11"/>
      <c r="K51" s="228"/>
      <c r="L51" s="11"/>
      <c r="M51" s="7"/>
      <c r="N51" s="4"/>
    </row>
    <row r="52" spans="1:14" x14ac:dyDescent="0.4">
      <c r="A52" s="237"/>
      <c r="B52" s="246" t="s">
        <v>144</v>
      </c>
      <c r="C52" s="237"/>
      <c r="D52" s="246"/>
      <c r="E52" s="237"/>
      <c r="F52" s="246" t="s">
        <v>144</v>
      </c>
      <c r="G52" s="237"/>
      <c r="H52" s="237"/>
      <c r="I52" s="237"/>
      <c r="J52" s="237"/>
      <c r="K52" s="237"/>
      <c r="L52" s="237"/>
    </row>
    <row r="53" spans="1:14" ht="15.75" customHeight="1" x14ac:dyDescent="0.4">
      <c r="A53" s="259">
        <v>8</v>
      </c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</row>
    <row r="54" spans="1:14" x14ac:dyDescent="0.4">
      <c r="B54" s="228"/>
      <c r="C54" s="228"/>
      <c r="D54" s="32"/>
      <c r="E54" s="32"/>
      <c r="F54" s="17"/>
      <c r="G54" s="32"/>
      <c r="H54" s="17"/>
      <c r="I54" s="228"/>
      <c r="J54" s="17"/>
      <c r="K54" s="17"/>
      <c r="L54" s="229"/>
    </row>
    <row r="55" spans="1:14" x14ac:dyDescent="0.4">
      <c r="A55" s="206" t="str">
        <f>A2</f>
        <v>THE BROOKER GROUP PUBLIC COMPANY LIMITED AND ITS SUBSIDIARIES</v>
      </c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</row>
    <row r="56" spans="1:14" x14ac:dyDescent="0.4">
      <c r="A56" s="206" t="s">
        <v>221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</row>
    <row r="57" spans="1:14" x14ac:dyDescent="0.4">
      <c r="A57" s="206" t="str">
        <f>A4</f>
        <v>FOR  THE SIX-MONTH PERIOD ENDED JUNE 30, 2023</v>
      </c>
      <c r="B57" s="206"/>
      <c r="C57" s="206"/>
      <c r="D57" s="206"/>
      <c r="E57" s="206"/>
      <c r="F57" s="206"/>
      <c r="G57" s="206"/>
      <c r="H57" s="206"/>
      <c r="I57" s="206"/>
      <c r="J57" s="206"/>
      <c r="K57" s="206"/>
      <c r="L57" s="206"/>
    </row>
    <row r="58" spans="1:14" ht="10.5" customHeight="1" x14ac:dyDescent="0.4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1:14" x14ac:dyDescent="0.4">
      <c r="A59" s="228"/>
      <c r="B59" s="228"/>
      <c r="C59" s="27"/>
      <c r="F59" s="231" t="s">
        <v>132</v>
      </c>
      <c r="G59" s="231"/>
      <c r="H59" s="231"/>
      <c r="I59" s="231"/>
      <c r="J59" s="231"/>
      <c r="K59" s="231"/>
      <c r="L59" s="231"/>
    </row>
    <row r="60" spans="1:14" ht="18.75" x14ac:dyDescent="0.4">
      <c r="A60" s="228"/>
      <c r="B60" s="228"/>
      <c r="C60" s="228" t="s">
        <v>4</v>
      </c>
      <c r="F60" s="232" t="s">
        <v>198</v>
      </c>
      <c r="G60" s="232"/>
      <c r="H60" s="232"/>
      <c r="I60" s="233"/>
      <c r="J60" s="232" t="s">
        <v>199</v>
      </c>
      <c r="K60" s="232"/>
      <c r="L60" s="232"/>
    </row>
    <row r="61" spans="1:14" ht="18.75" x14ac:dyDescent="0.4">
      <c r="A61" s="228"/>
      <c r="B61" s="228"/>
      <c r="C61" s="228"/>
      <c r="F61" s="234" t="str">
        <f>+F7</f>
        <v>For the six-month period ended June 30</v>
      </c>
      <c r="G61" s="234"/>
      <c r="H61" s="234"/>
      <c r="I61" s="233"/>
      <c r="J61" s="234" t="str">
        <f>+J7</f>
        <v>For the six-month period ended June 30</v>
      </c>
      <c r="K61" s="234"/>
      <c r="L61" s="234"/>
    </row>
    <row r="62" spans="1:14" x14ac:dyDescent="0.4">
      <c r="A62" s="228"/>
      <c r="B62" s="228"/>
      <c r="C62" s="228"/>
      <c r="D62" s="235" t="s">
        <v>133</v>
      </c>
      <c r="F62" s="235">
        <f>+F8</f>
        <v>2023</v>
      </c>
      <c r="H62" s="235">
        <f>+H8</f>
        <v>2022</v>
      </c>
      <c r="J62" s="235">
        <f>+J8</f>
        <v>2023</v>
      </c>
      <c r="K62" s="230"/>
      <c r="L62" s="235">
        <f>+L8</f>
        <v>2022</v>
      </c>
    </row>
    <row r="63" spans="1:14" x14ac:dyDescent="0.4">
      <c r="A63" s="236"/>
      <c r="B63" s="228"/>
      <c r="C63" s="228"/>
      <c r="D63" s="237"/>
      <c r="E63" s="237"/>
      <c r="F63" s="238"/>
      <c r="G63" s="238"/>
      <c r="H63" s="244"/>
      <c r="I63" s="228"/>
      <c r="J63" s="11"/>
      <c r="K63" s="228"/>
      <c r="L63" s="244"/>
    </row>
    <row r="64" spans="1:14" x14ac:dyDescent="0.4">
      <c r="A64" s="228" t="s">
        <v>316</v>
      </c>
      <c r="B64" s="228"/>
      <c r="C64" s="228"/>
      <c r="D64" s="237"/>
      <c r="E64" s="237"/>
      <c r="F64" s="181">
        <f>+F34</f>
        <v>72170280.61999999</v>
      </c>
      <c r="G64" s="239"/>
      <c r="H64" s="181">
        <f>+H34</f>
        <v>-312108975.01999998</v>
      </c>
      <c r="I64" s="240"/>
      <c r="J64" s="181">
        <f>+J34</f>
        <v>30868730.050000031</v>
      </c>
      <c r="K64" s="240"/>
      <c r="L64" s="181">
        <f>+L34</f>
        <v>76066078.549999997</v>
      </c>
    </row>
    <row r="65" spans="1:12" x14ac:dyDescent="0.4">
      <c r="A65" s="228"/>
      <c r="B65" s="228"/>
      <c r="C65" s="228"/>
      <c r="D65" s="237"/>
      <c r="E65" s="237"/>
      <c r="F65" s="171"/>
      <c r="G65" s="239"/>
      <c r="H65" s="171"/>
      <c r="I65" s="240"/>
      <c r="J65" s="171"/>
      <c r="K65" s="240"/>
      <c r="L65" s="171"/>
    </row>
    <row r="66" spans="1:12" x14ac:dyDescent="0.4">
      <c r="A66" s="228" t="s">
        <v>233</v>
      </c>
      <c r="B66" s="228"/>
      <c r="C66" s="228"/>
      <c r="D66" s="237"/>
      <c r="E66" s="237"/>
      <c r="F66" s="171"/>
      <c r="G66" s="239"/>
      <c r="H66" s="171"/>
      <c r="I66" s="240"/>
      <c r="J66" s="22"/>
      <c r="K66" s="240"/>
      <c r="L66" s="22"/>
    </row>
    <row r="67" spans="1:12" x14ac:dyDescent="0.4">
      <c r="A67" s="228" t="s">
        <v>281</v>
      </c>
      <c r="B67" s="260"/>
      <c r="C67" s="260"/>
      <c r="D67" s="237"/>
      <c r="E67" s="237"/>
      <c r="F67" s="24"/>
      <c r="G67" s="239"/>
      <c r="H67" s="227"/>
      <c r="J67" s="227"/>
      <c r="L67" s="227"/>
    </row>
    <row r="68" spans="1:12" x14ac:dyDescent="0.4">
      <c r="A68" s="260"/>
      <c r="B68" s="228" t="s">
        <v>319</v>
      </c>
      <c r="C68" s="260"/>
      <c r="D68" s="237"/>
      <c r="E68" s="237"/>
      <c r="F68" s="24"/>
      <c r="G68" s="239"/>
      <c r="H68" s="24"/>
      <c r="I68" s="240"/>
      <c r="J68" s="22"/>
      <c r="K68" s="240"/>
      <c r="L68" s="22"/>
    </row>
    <row r="69" spans="1:12" x14ac:dyDescent="0.4">
      <c r="A69" s="228"/>
      <c r="B69" s="261" t="s">
        <v>252</v>
      </c>
      <c r="C69" s="228"/>
      <c r="D69" s="237"/>
      <c r="E69" s="237"/>
      <c r="F69" s="24">
        <v>1032496.18</v>
      </c>
      <c r="G69" s="239"/>
      <c r="H69" s="24">
        <v>9535850.2300000004</v>
      </c>
      <c r="I69" s="240"/>
      <c r="J69" s="22">
        <v>0</v>
      </c>
      <c r="K69" s="240"/>
      <c r="L69" s="22">
        <v>0</v>
      </c>
    </row>
    <row r="70" spans="1:12" ht="5.45" customHeight="1" x14ac:dyDescent="0.4">
      <c r="A70" s="228"/>
      <c r="B70" s="261"/>
      <c r="C70" s="228"/>
      <c r="D70" s="237"/>
      <c r="E70" s="237"/>
      <c r="F70" s="24"/>
      <c r="G70" s="239"/>
      <c r="H70" s="24"/>
      <c r="I70" s="240"/>
      <c r="J70" s="22"/>
      <c r="K70" s="240"/>
      <c r="L70" s="22"/>
    </row>
    <row r="71" spans="1:12" x14ac:dyDescent="0.4">
      <c r="A71" s="228" t="s">
        <v>283</v>
      </c>
      <c r="B71" s="260"/>
      <c r="C71" s="228"/>
      <c r="D71" s="237"/>
      <c r="E71" s="237"/>
      <c r="F71" s="24"/>
      <c r="G71" s="239"/>
      <c r="H71" s="24"/>
      <c r="I71" s="240"/>
      <c r="J71" s="22"/>
      <c r="K71" s="240"/>
      <c r="L71" s="22"/>
    </row>
    <row r="72" spans="1:12" x14ac:dyDescent="0.4">
      <c r="A72" s="260"/>
      <c r="B72" s="228" t="s">
        <v>282</v>
      </c>
      <c r="C72" s="228"/>
      <c r="D72" s="237"/>
      <c r="E72" s="237"/>
      <c r="F72" s="24"/>
      <c r="G72" s="239"/>
      <c r="H72" s="24"/>
      <c r="I72" s="240"/>
      <c r="J72" s="22"/>
      <c r="K72" s="240"/>
      <c r="L72" s="22"/>
    </row>
    <row r="73" spans="1:12" x14ac:dyDescent="0.4">
      <c r="A73" s="228"/>
      <c r="B73" s="228" t="s">
        <v>284</v>
      </c>
      <c r="C73" s="228"/>
      <c r="D73" s="237"/>
      <c r="E73" s="237"/>
      <c r="F73" s="24">
        <v>0</v>
      </c>
      <c r="G73" s="239"/>
      <c r="H73" s="24">
        <v>-287853</v>
      </c>
      <c r="I73" s="240"/>
      <c r="J73" s="22">
        <v>0</v>
      </c>
      <c r="K73" s="240"/>
      <c r="L73" s="22">
        <v>0</v>
      </c>
    </row>
    <row r="74" spans="1:12" x14ac:dyDescent="0.4">
      <c r="A74" s="228"/>
      <c r="B74" s="228" t="s">
        <v>285</v>
      </c>
      <c r="C74" s="228"/>
      <c r="D74" s="237"/>
      <c r="E74" s="237"/>
      <c r="F74" s="181">
        <v>0</v>
      </c>
      <c r="G74" s="239"/>
      <c r="H74" s="181">
        <v>57570.6</v>
      </c>
      <c r="I74" s="240"/>
      <c r="J74" s="167">
        <v>0</v>
      </c>
      <c r="K74" s="240"/>
      <c r="L74" s="167">
        <v>0</v>
      </c>
    </row>
    <row r="75" spans="1:12" x14ac:dyDescent="0.4">
      <c r="A75" s="228" t="s">
        <v>317</v>
      </c>
      <c r="B75" s="228"/>
      <c r="C75" s="228"/>
      <c r="D75" s="237"/>
      <c r="E75" s="237"/>
      <c r="F75" s="184">
        <f>SUM(F68:F74)</f>
        <v>1032496.18</v>
      </c>
      <c r="G75" s="239"/>
      <c r="H75" s="184">
        <f>SUM(H68:H74)</f>
        <v>9305567.8300000001</v>
      </c>
      <c r="I75" s="240"/>
      <c r="J75" s="184">
        <f>SUM(J68:J74)</f>
        <v>0</v>
      </c>
      <c r="K75" s="240"/>
      <c r="L75" s="184">
        <f>SUM(L68:L74)</f>
        <v>0</v>
      </c>
    </row>
    <row r="76" spans="1:12" x14ac:dyDescent="0.4">
      <c r="A76" s="228"/>
      <c r="B76" s="228"/>
      <c r="C76" s="228"/>
      <c r="D76" s="237"/>
      <c r="E76" s="237"/>
      <c r="F76" s="171"/>
      <c r="G76" s="239"/>
      <c r="H76" s="171"/>
      <c r="I76" s="240"/>
      <c r="J76" s="14"/>
      <c r="K76" s="240"/>
      <c r="L76" s="14"/>
    </row>
    <row r="77" spans="1:12" ht="18.75" thickBot="1" x14ac:dyDescent="0.45">
      <c r="A77" s="228" t="s">
        <v>318</v>
      </c>
      <c r="B77" s="228"/>
      <c r="C77" s="228"/>
      <c r="D77" s="237"/>
      <c r="E77" s="237"/>
      <c r="F77" s="178">
        <f>+F64+F75</f>
        <v>73202776.799999997</v>
      </c>
      <c r="G77" s="239"/>
      <c r="H77" s="178">
        <f>+H64+H75</f>
        <v>-302803407.19</v>
      </c>
      <c r="I77" s="240"/>
      <c r="J77" s="178">
        <f>+J64+J75</f>
        <v>30868730.050000031</v>
      </c>
      <c r="K77" s="240"/>
      <c r="L77" s="178">
        <f>+L64+L75</f>
        <v>76066078.549999997</v>
      </c>
    </row>
    <row r="78" spans="1:12" ht="18.75" thickTop="1" x14ac:dyDescent="0.4">
      <c r="A78" s="228"/>
      <c r="B78" s="228"/>
      <c r="C78" s="228"/>
      <c r="D78" s="237"/>
      <c r="E78" s="237"/>
      <c r="F78" s="241"/>
      <c r="G78" s="241"/>
      <c r="H78" s="241"/>
      <c r="I78" s="240"/>
      <c r="J78" s="14"/>
      <c r="K78" s="240"/>
      <c r="L78" s="14"/>
    </row>
    <row r="79" spans="1:12" ht="18.75" x14ac:dyDescent="0.4">
      <c r="A79" s="249" t="s">
        <v>234</v>
      </c>
      <c r="B79" s="249"/>
      <c r="C79" s="249"/>
      <c r="D79" s="262"/>
      <c r="E79" s="156"/>
      <c r="F79" s="183"/>
      <c r="G79" s="263"/>
      <c r="H79" s="183"/>
      <c r="I79" s="182"/>
      <c r="J79" s="183"/>
      <c r="K79" s="263"/>
      <c r="L79" s="263"/>
    </row>
    <row r="80" spans="1:12" ht="18.75" x14ac:dyDescent="0.4">
      <c r="A80" s="249"/>
      <c r="B80" s="249" t="s">
        <v>232</v>
      </c>
      <c r="C80" s="249"/>
      <c r="D80" s="262"/>
      <c r="E80" s="264">
        <v>852812933</v>
      </c>
      <c r="F80" s="24">
        <f>+F77-F81</f>
        <v>73576485.379999995</v>
      </c>
      <c r="G80" s="239"/>
      <c r="H80" s="24">
        <f>+H77-H81</f>
        <v>-302504659.64999998</v>
      </c>
      <c r="I80" s="239"/>
      <c r="J80" s="24">
        <f>+J77-J81</f>
        <v>30868730.050000031</v>
      </c>
      <c r="K80" s="239"/>
      <c r="L80" s="24">
        <f>+L77-L81</f>
        <v>76066078.549999997</v>
      </c>
    </row>
    <row r="81" spans="1:12" ht="18.75" x14ac:dyDescent="0.4">
      <c r="A81" s="249"/>
      <c r="B81" s="228" t="s">
        <v>228</v>
      </c>
      <c r="C81" s="228"/>
      <c r="D81" s="262"/>
      <c r="E81" s="264">
        <v>-1541152</v>
      </c>
      <c r="F81" s="24">
        <f>+F38</f>
        <v>-373708.58</v>
      </c>
      <c r="G81" s="22"/>
      <c r="H81" s="24">
        <f>+H38</f>
        <v>-298747.53999999998</v>
      </c>
      <c r="I81" s="182"/>
      <c r="J81" s="24">
        <f>+J38</f>
        <v>0</v>
      </c>
      <c r="K81" s="182"/>
      <c r="L81" s="24">
        <f>+L38</f>
        <v>0</v>
      </c>
    </row>
    <row r="82" spans="1:12" ht="19.5" thickBot="1" x14ac:dyDescent="0.45">
      <c r="A82" s="265"/>
      <c r="B82" s="265"/>
      <c r="C82" s="265"/>
      <c r="D82" s="262"/>
      <c r="E82" s="264"/>
      <c r="F82" s="185">
        <f>SUM(F80:F81)</f>
        <v>73202776.799999997</v>
      </c>
      <c r="G82" s="263"/>
      <c r="H82" s="250">
        <f>SUM(H80:H81)</f>
        <v>-302803407.19</v>
      </c>
      <c r="I82" s="263"/>
      <c r="J82" s="185">
        <f>SUM(J80:J81)</f>
        <v>30868730.050000031</v>
      </c>
      <c r="K82" s="263"/>
      <c r="L82" s="250">
        <f>SUM(L80:L81)</f>
        <v>76066078.549999997</v>
      </c>
    </row>
    <row r="83" spans="1:12" ht="19.5" thickTop="1" x14ac:dyDescent="0.4">
      <c r="A83" s="265"/>
      <c r="B83" s="265"/>
      <c r="C83" s="265"/>
      <c r="D83" s="262"/>
      <c r="E83" s="264"/>
      <c r="F83" s="24"/>
      <c r="G83" s="263"/>
      <c r="H83" s="239"/>
      <c r="I83" s="263"/>
      <c r="J83" s="239"/>
      <c r="K83" s="263"/>
      <c r="L83" s="239"/>
    </row>
    <row r="84" spans="1:12" ht="18.75" x14ac:dyDescent="0.4">
      <c r="A84" s="243" t="s">
        <v>257</v>
      </c>
      <c r="B84" s="265"/>
      <c r="C84" s="265"/>
      <c r="D84" s="262"/>
      <c r="E84" s="264"/>
      <c r="F84" s="24"/>
      <c r="G84" s="263"/>
      <c r="H84" s="239"/>
      <c r="I84" s="263"/>
      <c r="J84" s="239"/>
      <c r="K84" s="263"/>
      <c r="L84" s="239"/>
    </row>
    <row r="85" spans="1:12" ht="18.75" x14ac:dyDescent="0.4">
      <c r="A85" s="265"/>
      <c r="B85" s="265"/>
      <c r="C85" s="265"/>
      <c r="D85" s="262"/>
      <c r="E85" s="264"/>
      <c r="F85" s="24"/>
      <c r="G85" s="263"/>
      <c r="H85" s="239"/>
      <c r="I85" s="263"/>
      <c r="J85" s="239"/>
      <c r="K85" s="263"/>
      <c r="L85" s="239"/>
    </row>
    <row r="86" spans="1:12" ht="18.75" x14ac:dyDescent="0.4">
      <c r="A86" s="265"/>
      <c r="B86" s="265"/>
      <c r="C86" s="265"/>
      <c r="D86" s="262"/>
      <c r="E86" s="264"/>
      <c r="F86" s="24"/>
      <c r="G86" s="263"/>
      <c r="H86" s="239"/>
      <c r="I86" s="263"/>
      <c r="J86" s="239"/>
      <c r="K86" s="263"/>
      <c r="L86" s="239"/>
    </row>
    <row r="87" spans="1:12" ht="18.75" x14ac:dyDescent="0.4">
      <c r="A87" s="265"/>
      <c r="B87" s="265"/>
      <c r="C87" s="265"/>
      <c r="D87" s="262"/>
      <c r="E87" s="264"/>
      <c r="F87" s="24"/>
      <c r="G87" s="263"/>
      <c r="H87" s="239"/>
      <c r="I87" s="263"/>
      <c r="J87" s="239"/>
      <c r="K87" s="263"/>
      <c r="L87" s="239"/>
    </row>
    <row r="88" spans="1:12" ht="18.75" x14ac:dyDescent="0.4">
      <c r="A88" s="265"/>
      <c r="B88" s="265"/>
      <c r="C88" s="265"/>
      <c r="D88" s="262"/>
      <c r="E88" s="264"/>
      <c r="F88" s="24"/>
      <c r="G88" s="263"/>
      <c r="H88" s="239"/>
      <c r="I88" s="263"/>
      <c r="J88" s="239"/>
      <c r="K88" s="263"/>
      <c r="L88" s="239"/>
    </row>
    <row r="89" spans="1:12" ht="18.75" x14ac:dyDescent="0.4">
      <c r="A89" s="265"/>
      <c r="B89" s="265"/>
      <c r="C89" s="265"/>
      <c r="D89" s="262"/>
      <c r="E89" s="264"/>
      <c r="F89" s="24"/>
      <c r="G89" s="263"/>
      <c r="H89" s="239"/>
      <c r="I89" s="263"/>
      <c r="J89" s="239"/>
      <c r="K89" s="263"/>
      <c r="L89" s="239"/>
    </row>
    <row r="90" spans="1:12" ht="18.75" x14ac:dyDescent="0.4">
      <c r="A90" s="265"/>
      <c r="B90" s="265"/>
      <c r="C90" s="265"/>
      <c r="D90" s="262"/>
      <c r="E90" s="264"/>
      <c r="F90" s="24"/>
      <c r="G90" s="263"/>
      <c r="H90" s="239"/>
      <c r="I90" s="263"/>
      <c r="J90" s="239"/>
      <c r="K90" s="263"/>
      <c r="L90" s="239"/>
    </row>
    <row r="91" spans="1:12" ht="18.75" x14ac:dyDescent="0.4">
      <c r="A91" s="265"/>
      <c r="B91" s="265"/>
      <c r="C91" s="265"/>
      <c r="D91" s="262"/>
      <c r="E91" s="264"/>
      <c r="F91" s="24"/>
      <c r="G91" s="263"/>
      <c r="H91" s="239"/>
      <c r="I91" s="263"/>
      <c r="J91" s="239"/>
      <c r="K91" s="263"/>
      <c r="L91" s="239"/>
    </row>
    <row r="92" spans="1:12" ht="18.75" x14ac:dyDescent="0.4">
      <c r="A92" s="265"/>
      <c r="B92" s="265"/>
      <c r="C92" s="265"/>
      <c r="D92" s="262"/>
      <c r="E92" s="264"/>
      <c r="F92" s="24"/>
      <c r="G92" s="263"/>
      <c r="H92" s="239"/>
      <c r="I92" s="263"/>
      <c r="J92" s="239"/>
      <c r="K92" s="263"/>
      <c r="L92" s="239"/>
    </row>
    <row r="93" spans="1:12" ht="18.75" x14ac:dyDescent="0.4">
      <c r="A93" s="265"/>
      <c r="B93" s="265"/>
      <c r="C93" s="265"/>
      <c r="D93" s="262"/>
      <c r="E93" s="264"/>
      <c r="F93" s="24"/>
      <c r="G93" s="263"/>
      <c r="H93" s="239"/>
      <c r="I93" s="263"/>
      <c r="J93" s="239"/>
      <c r="K93" s="263"/>
      <c r="L93" s="239"/>
    </row>
    <row r="94" spans="1:12" ht="18.75" x14ac:dyDescent="0.4">
      <c r="A94" s="265"/>
      <c r="B94" s="265"/>
      <c r="C94" s="265"/>
      <c r="D94" s="262"/>
      <c r="E94" s="264"/>
      <c r="F94" s="24"/>
      <c r="G94" s="263"/>
      <c r="H94" s="239"/>
      <c r="I94" s="263"/>
      <c r="J94" s="239"/>
      <c r="K94" s="263"/>
      <c r="L94" s="239"/>
    </row>
    <row r="95" spans="1:12" ht="18.75" x14ac:dyDescent="0.4">
      <c r="A95" s="265"/>
      <c r="B95" s="265"/>
      <c r="C95" s="265"/>
      <c r="D95" s="262"/>
      <c r="E95" s="264"/>
      <c r="F95" s="24"/>
      <c r="G95" s="263"/>
      <c r="H95" s="239"/>
      <c r="I95" s="263"/>
      <c r="J95" s="239"/>
      <c r="K95" s="263"/>
      <c r="L95" s="239"/>
    </row>
    <row r="96" spans="1:12" ht="18.75" x14ac:dyDescent="0.4">
      <c r="A96" s="265"/>
      <c r="B96" s="265"/>
      <c r="C96" s="265"/>
      <c r="D96" s="262"/>
      <c r="E96" s="264"/>
      <c r="F96" s="24"/>
      <c r="G96" s="263"/>
      <c r="H96" s="239"/>
      <c r="I96" s="263"/>
      <c r="J96" s="239"/>
      <c r="K96" s="263"/>
      <c r="L96" s="239"/>
    </row>
    <row r="97" spans="1:12" ht="18.75" x14ac:dyDescent="0.4">
      <c r="A97" s="265"/>
      <c r="B97" s="265"/>
      <c r="C97" s="265"/>
      <c r="D97" s="262"/>
      <c r="E97" s="264"/>
      <c r="F97" s="24"/>
      <c r="G97" s="264"/>
      <c r="H97" s="238"/>
      <c r="I97" s="264"/>
      <c r="J97" s="238"/>
      <c r="K97" s="264"/>
      <c r="L97" s="238"/>
    </row>
    <row r="98" spans="1:12" x14ac:dyDescent="0.4">
      <c r="A98" s="266"/>
      <c r="B98" s="228"/>
      <c r="C98" s="228"/>
      <c r="D98" s="237"/>
      <c r="E98" s="237"/>
      <c r="F98" s="237"/>
      <c r="G98" s="237"/>
      <c r="H98" s="237"/>
      <c r="I98" s="228"/>
      <c r="J98" s="11"/>
      <c r="K98" s="228"/>
      <c r="L98" s="11"/>
    </row>
    <row r="99" spans="1:12" x14ac:dyDescent="0.4">
      <c r="A99" s="228"/>
      <c r="B99" s="228"/>
      <c r="C99" s="228"/>
      <c r="D99" s="237"/>
      <c r="E99" s="237"/>
      <c r="F99" s="237"/>
      <c r="G99" s="237"/>
      <c r="H99" s="237"/>
      <c r="I99" s="228"/>
      <c r="J99" s="11"/>
      <c r="K99" s="228"/>
      <c r="L99" s="11"/>
    </row>
    <row r="100" spans="1:12" x14ac:dyDescent="0.4">
      <c r="A100" s="237"/>
      <c r="B100" s="246" t="s">
        <v>144</v>
      </c>
      <c r="C100" s="237"/>
      <c r="D100" s="246"/>
      <c r="E100" s="237"/>
      <c r="F100" s="246" t="s">
        <v>144</v>
      </c>
      <c r="G100" s="237"/>
      <c r="H100" s="237"/>
      <c r="I100" s="237"/>
      <c r="J100" s="237"/>
      <c r="K100" s="237"/>
      <c r="L100" s="237"/>
    </row>
    <row r="101" spans="1:12" x14ac:dyDescent="0.4">
      <c r="A101" s="259">
        <v>9</v>
      </c>
      <c r="B101" s="259"/>
      <c r="C101" s="259"/>
      <c r="D101" s="259"/>
      <c r="E101" s="259"/>
      <c r="F101" s="259"/>
      <c r="G101" s="259"/>
      <c r="H101" s="259"/>
      <c r="I101" s="259"/>
      <c r="J101" s="259"/>
      <c r="K101" s="259"/>
      <c r="L101" s="259"/>
    </row>
    <row r="102" spans="1:12" ht="10.5" customHeight="1" x14ac:dyDescent="0.4">
      <c r="B102" s="228"/>
      <c r="C102" s="228"/>
      <c r="D102" s="32"/>
      <c r="E102" s="32"/>
      <c r="F102" s="17"/>
      <c r="G102" s="32"/>
      <c r="H102" s="17"/>
      <c r="I102" s="228"/>
      <c r="J102" s="17"/>
      <c r="K102" s="17"/>
      <c r="L102" s="229"/>
    </row>
    <row r="103" spans="1:12" x14ac:dyDescent="0.4">
      <c r="A103" s="209" t="s">
        <v>131</v>
      </c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</row>
    <row r="104" spans="1:12" x14ac:dyDescent="0.4">
      <c r="A104" s="206" t="s">
        <v>156</v>
      </c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</row>
    <row r="105" spans="1:12" x14ac:dyDescent="0.4">
      <c r="A105" s="206" t="s">
        <v>373</v>
      </c>
      <c r="B105" s="206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</row>
    <row r="106" spans="1:12" x14ac:dyDescent="0.4">
      <c r="A106" s="228"/>
      <c r="B106" s="228"/>
      <c r="C106" s="27"/>
      <c r="F106" s="231" t="s">
        <v>132</v>
      </c>
      <c r="G106" s="231"/>
      <c r="H106" s="231"/>
      <c r="I106" s="231"/>
      <c r="J106" s="231"/>
      <c r="K106" s="231"/>
      <c r="L106" s="231"/>
    </row>
    <row r="107" spans="1:12" ht="18.75" x14ac:dyDescent="0.4">
      <c r="A107" s="228"/>
      <c r="B107" s="228"/>
      <c r="C107" s="228" t="s">
        <v>4</v>
      </c>
      <c r="F107" s="232" t="s">
        <v>198</v>
      </c>
      <c r="G107" s="232"/>
      <c r="H107" s="232"/>
      <c r="I107" s="233"/>
      <c r="J107" s="232" t="s">
        <v>199</v>
      </c>
      <c r="K107" s="232"/>
      <c r="L107" s="232"/>
    </row>
    <row r="108" spans="1:12" x14ac:dyDescent="0.4">
      <c r="A108" s="228"/>
      <c r="B108" s="228"/>
      <c r="C108" s="228"/>
      <c r="F108" s="234" t="s">
        <v>335</v>
      </c>
      <c r="G108" s="234"/>
      <c r="H108" s="234"/>
      <c r="J108" s="234" t="str">
        <f>+F108</f>
        <v>For the three-month period ended June 30</v>
      </c>
      <c r="K108" s="234"/>
      <c r="L108" s="234"/>
    </row>
    <row r="109" spans="1:12" x14ac:dyDescent="0.4">
      <c r="A109" s="228"/>
      <c r="B109" s="228"/>
      <c r="C109" s="228"/>
      <c r="D109" s="235" t="s">
        <v>133</v>
      </c>
      <c r="F109" s="235">
        <v>2023</v>
      </c>
      <c r="H109" s="235">
        <v>2022</v>
      </c>
      <c r="J109" s="235">
        <f>+F109</f>
        <v>2023</v>
      </c>
      <c r="K109" s="230"/>
      <c r="L109" s="235">
        <f>+H109</f>
        <v>2022</v>
      </c>
    </row>
    <row r="110" spans="1:12" x14ac:dyDescent="0.4">
      <c r="A110" s="236" t="s">
        <v>157</v>
      </c>
      <c r="B110" s="228"/>
      <c r="C110" s="228"/>
      <c r="D110" s="237"/>
      <c r="E110" s="237"/>
      <c r="F110" s="238"/>
      <c r="G110" s="238"/>
      <c r="H110" s="238"/>
      <c r="I110" s="228"/>
      <c r="J110" s="11"/>
      <c r="K110" s="228"/>
      <c r="L110" s="11"/>
    </row>
    <row r="111" spans="1:12" x14ac:dyDescent="0.4">
      <c r="A111" s="228"/>
      <c r="B111" s="228" t="s">
        <v>220</v>
      </c>
      <c r="C111" s="228"/>
      <c r="D111" s="237"/>
      <c r="E111" s="237"/>
      <c r="F111" s="171">
        <v>15081545.93</v>
      </c>
      <c r="G111" s="239"/>
      <c r="H111" s="171">
        <v>36137316.710000001</v>
      </c>
      <c r="I111" s="240"/>
      <c r="J111" s="22">
        <v>15212309.039999999</v>
      </c>
      <c r="K111" s="240"/>
      <c r="L111" s="22">
        <v>6466315.1699999999</v>
      </c>
    </row>
    <row r="112" spans="1:12" x14ac:dyDescent="0.4">
      <c r="A112" s="228"/>
      <c r="B112" s="228" t="s">
        <v>341</v>
      </c>
      <c r="C112" s="228"/>
      <c r="D112" s="237"/>
      <c r="E112" s="237"/>
      <c r="F112" s="171">
        <v>2160347.87</v>
      </c>
      <c r="G112" s="239"/>
      <c r="H112" s="171">
        <v>2148568</v>
      </c>
      <c r="I112" s="240"/>
      <c r="J112" s="14">
        <v>2160347.87</v>
      </c>
      <c r="K112" s="240"/>
      <c r="L112" s="14">
        <v>2148568</v>
      </c>
    </row>
    <row r="113" spans="1:14" x14ac:dyDescent="0.4">
      <c r="A113" s="228"/>
      <c r="B113" s="228" t="s">
        <v>340</v>
      </c>
      <c r="C113" s="228"/>
      <c r="D113" s="237"/>
      <c r="E113" s="237"/>
      <c r="F113" s="171">
        <v>0</v>
      </c>
      <c r="G113" s="239"/>
      <c r="H113" s="171">
        <v>0</v>
      </c>
      <c r="I113" s="240"/>
      <c r="J113" s="14">
        <v>633.53</v>
      </c>
      <c r="K113" s="240"/>
      <c r="L113" s="14">
        <v>155660.16</v>
      </c>
    </row>
    <row r="114" spans="1:14" x14ac:dyDescent="0.4">
      <c r="A114" s="228"/>
      <c r="B114" s="228" t="s">
        <v>209</v>
      </c>
      <c r="C114" s="228"/>
      <c r="D114" s="237"/>
      <c r="E114" s="237"/>
      <c r="F114" s="171">
        <v>5000000</v>
      </c>
      <c r="G114" s="239"/>
      <c r="H114" s="171">
        <v>3562769.48</v>
      </c>
      <c r="I114" s="240"/>
      <c r="J114" s="14">
        <v>5000000</v>
      </c>
      <c r="K114" s="240"/>
      <c r="L114" s="14">
        <v>2504660.7000000002</v>
      </c>
    </row>
    <row r="115" spans="1:14" x14ac:dyDescent="0.4">
      <c r="A115" s="228"/>
      <c r="B115" s="228" t="s">
        <v>159</v>
      </c>
      <c r="C115" s="228"/>
      <c r="D115" s="237"/>
      <c r="E115" s="237"/>
      <c r="F115" s="171">
        <v>10589911.720000001</v>
      </c>
      <c r="G115" s="239"/>
      <c r="H115" s="171">
        <v>9820530.2599999998</v>
      </c>
      <c r="I115" s="240"/>
      <c r="J115" s="22">
        <v>24902407.93</v>
      </c>
      <c r="K115" s="240"/>
      <c r="L115" s="22">
        <v>26373611.68</v>
      </c>
    </row>
    <row r="116" spans="1:14" x14ac:dyDescent="0.4">
      <c r="A116" s="228"/>
      <c r="B116" s="228" t="s">
        <v>158</v>
      </c>
      <c r="C116" s="228"/>
      <c r="D116" s="237"/>
      <c r="E116" s="237"/>
      <c r="F116" s="241"/>
      <c r="G116" s="241"/>
      <c r="H116" s="241"/>
      <c r="I116" s="240"/>
      <c r="J116" s="14"/>
      <c r="K116" s="240"/>
      <c r="L116" s="14"/>
    </row>
    <row r="117" spans="1:14" x14ac:dyDescent="0.4">
      <c r="A117" s="228"/>
      <c r="B117" s="228"/>
      <c r="C117" s="228" t="s">
        <v>386</v>
      </c>
      <c r="D117" s="237">
        <v>10</v>
      </c>
      <c r="E117" s="237"/>
      <c r="F117" s="241">
        <v>3000100</v>
      </c>
      <c r="G117" s="241"/>
      <c r="H117" s="241">
        <v>0</v>
      </c>
      <c r="I117" s="240"/>
      <c r="J117" s="14">
        <v>3000100</v>
      </c>
      <c r="K117" s="240"/>
      <c r="L117" s="14">
        <v>0</v>
      </c>
    </row>
    <row r="118" spans="1:14" x14ac:dyDescent="0.4">
      <c r="A118" s="228"/>
      <c r="B118" s="228"/>
      <c r="C118" s="228" t="s">
        <v>296</v>
      </c>
      <c r="D118" s="242"/>
      <c r="E118" s="237"/>
      <c r="F118" s="14">
        <v>76675388.680000007</v>
      </c>
      <c r="G118" s="239"/>
      <c r="H118" s="14">
        <v>119478344.66</v>
      </c>
      <c r="I118" s="240"/>
      <c r="J118" s="14">
        <v>78014112.689999998</v>
      </c>
      <c r="K118" s="240"/>
      <c r="L118" s="14">
        <v>122890817.27</v>
      </c>
    </row>
    <row r="119" spans="1:14" x14ac:dyDescent="0.4">
      <c r="A119" s="228"/>
      <c r="B119" s="228"/>
      <c r="C119" s="228" t="s">
        <v>374</v>
      </c>
      <c r="D119" s="237"/>
      <c r="E119" s="237"/>
      <c r="F119" s="241">
        <v>0</v>
      </c>
      <c r="G119" s="241"/>
      <c r="H119" s="241">
        <v>0</v>
      </c>
      <c r="I119" s="240"/>
      <c r="J119" s="14">
        <v>7324.23</v>
      </c>
      <c r="K119" s="240"/>
      <c r="L119" s="14">
        <v>0</v>
      </c>
    </row>
    <row r="120" spans="1:14" x14ac:dyDescent="0.4">
      <c r="A120" s="228"/>
      <c r="B120" s="228"/>
      <c r="C120" s="228" t="s">
        <v>137</v>
      </c>
      <c r="D120" s="243"/>
      <c r="E120" s="243"/>
      <c r="F120" s="171">
        <v>38846.75</v>
      </c>
      <c r="G120" s="239"/>
      <c r="H120" s="171">
        <v>462366.38</v>
      </c>
      <c r="I120" s="240"/>
      <c r="J120" s="14">
        <v>38846.519999999997</v>
      </c>
      <c r="K120" s="240"/>
      <c r="L120" s="14">
        <v>461015.38</v>
      </c>
    </row>
    <row r="121" spans="1:14" x14ac:dyDescent="0.4">
      <c r="A121" s="228"/>
      <c r="B121" s="228"/>
      <c r="C121" s="228" t="s">
        <v>160</v>
      </c>
      <c r="D121" s="237"/>
      <c r="E121" s="237"/>
      <c r="F121" s="170">
        <f>SUM(F111:F120)</f>
        <v>112546140.95000002</v>
      </c>
      <c r="G121" s="239"/>
      <c r="H121" s="170">
        <f>SUM(H111:H120)</f>
        <v>171609895.48999998</v>
      </c>
      <c r="I121" s="240"/>
      <c r="J121" s="170">
        <f>SUM(J111:J120)</f>
        <v>128336081.81</v>
      </c>
      <c r="K121" s="240"/>
      <c r="L121" s="170">
        <f>SUM(L111:L120)</f>
        <v>161000648.35999998</v>
      </c>
    </row>
    <row r="122" spans="1:14" ht="9.75" customHeight="1" x14ac:dyDescent="0.4">
      <c r="A122" s="228"/>
      <c r="B122" s="228"/>
      <c r="C122" s="228"/>
      <c r="D122" s="237"/>
      <c r="E122" s="237"/>
      <c r="F122" s="239"/>
      <c r="G122" s="239"/>
      <c r="H122" s="239"/>
      <c r="I122" s="240"/>
      <c r="J122" s="239"/>
      <c r="K122" s="240"/>
      <c r="L122" s="239"/>
    </row>
    <row r="123" spans="1:14" x14ac:dyDescent="0.4">
      <c r="A123" s="228" t="s">
        <v>161</v>
      </c>
      <c r="B123" s="228"/>
      <c r="C123" s="228"/>
      <c r="D123" s="237"/>
      <c r="E123" s="237"/>
      <c r="F123" s="239"/>
      <c r="G123" s="239"/>
      <c r="H123" s="239"/>
      <c r="I123" s="240"/>
      <c r="J123" s="14"/>
      <c r="K123" s="240"/>
      <c r="L123" s="14"/>
    </row>
    <row r="124" spans="1:14" x14ac:dyDescent="0.4">
      <c r="A124" s="228"/>
      <c r="B124" s="228" t="s">
        <v>241</v>
      </c>
      <c r="C124" s="228"/>
      <c r="D124" s="237"/>
      <c r="E124" s="237"/>
      <c r="F124" s="239">
        <v>14488453.5</v>
      </c>
      <c r="G124" s="239"/>
      <c r="H124" s="239">
        <v>24227966.780000001</v>
      </c>
      <c r="I124" s="240"/>
      <c r="J124" s="14">
        <v>17565233.370000001</v>
      </c>
      <c r="K124" s="240"/>
      <c r="L124" s="14">
        <v>13498120.220000001</v>
      </c>
    </row>
    <row r="125" spans="1:14" x14ac:dyDescent="0.4">
      <c r="A125" s="228"/>
      <c r="B125" s="228" t="s">
        <v>205</v>
      </c>
      <c r="C125" s="228"/>
      <c r="D125" s="244"/>
      <c r="E125" s="244"/>
      <c r="F125" s="239">
        <v>22809739.449999999</v>
      </c>
      <c r="G125" s="239"/>
      <c r="H125" s="239">
        <v>24948956.359999999</v>
      </c>
      <c r="I125" s="240"/>
      <c r="J125" s="14">
        <v>16410632.029999999</v>
      </c>
      <c r="K125" s="240"/>
      <c r="L125" s="14">
        <v>24771625.120000001</v>
      </c>
    </row>
    <row r="126" spans="1:14" x14ac:dyDescent="0.4">
      <c r="A126" s="228"/>
      <c r="B126" s="228" t="s">
        <v>330</v>
      </c>
      <c r="C126" s="228"/>
      <c r="D126" s="237"/>
      <c r="E126" s="244"/>
      <c r="F126" s="239">
        <v>39527921.109999999</v>
      </c>
      <c r="G126" s="239"/>
      <c r="H126" s="239">
        <v>91459799.420000002</v>
      </c>
      <c r="I126" s="240"/>
      <c r="J126" s="14">
        <v>22393380.829999998</v>
      </c>
      <c r="K126" s="240"/>
      <c r="L126" s="14">
        <v>17196568.289999999</v>
      </c>
    </row>
    <row r="127" spans="1:14" x14ac:dyDescent="0.4">
      <c r="A127" s="228"/>
      <c r="B127" s="228" t="s">
        <v>387</v>
      </c>
      <c r="C127" s="228"/>
      <c r="D127" s="244"/>
      <c r="E127" s="244"/>
      <c r="F127" s="239">
        <v>5687205.0899999999</v>
      </c>
      <c r="G127" s="239"/>
      <c r="H127" s="239">
        <v>0</v>
      </c>
      <c r="I127" s="240"/>
      <c r="J127" s="14">
        <v>0</v>
      </c>
      <c r="K127" s="240"/>
      <c r="L127" s="14">
        <v>0</v>
      </c>
    </row>
    <row r="128" spans="1:14" x14ac:dyDescent="0.4">
      <c r="A128" s="228"/>
      <c r="B128" s="228" t="s">
        <v>337</v>
      </c>
      <c r="C128" s="228"/>
      <c r="D128" s="245"/>
      <c r="E128" s="244"/>
      <c r="F128" s="239">
        <v>38279682.710000001</v>
      </c>
      <c r="G128" s="239"/>
      <c r="H128" s="239">
        <v>378493904.17000002</v>
      </c>
      <c r="I128" s="240"/>
      <c r="J128" s="14">
        <v>0</v>
      </c>
      <c r="K128" s="240"/>
      <c r="L128" s="14">
        <v>72488.13</v>
      </c>
      <c r="M128" s="7"/>
      <c r="N128" s="7"/>
    </row>
    <row r="129" spans="1:12" x14ac:dyDescent="0.4">
      <c r="A129" s="228"/>
      <c r="B129" s="228"/>
      <c r="C129" s="246" t="s">
        <v>333</v>
      </c>
      <c r="D129" s="237"/>
      <c r="E129" s="237"/>
      <c r="F129" s="170">
        <f>SUM(F124:F128)</f>
        <v>120793001.86000001</v>
      </c>
      <c r="G129" s="171"/>
      <c r="H129" s="170">
        <f>SUM(H124:H128)</f>
        <v>519130626.73000002</v>
      </c>
      <c r="I129" s="14"/>
      <c r="J129" s="170">
        <f>SUM(J124:J128)</f>
        <v>56369246.229999997</v>
      </c>
      <c r="K129" s="14"/>
      <c r="L129" s="170">
        <f>SUM(L124:L128)</f>
        <v>55538801.760000005</v>
      </c>
    </row>
    <row r="130" spans="1:12" x14ac:dyDescent="0.4">
      <c r="A130" s="228"/>
      <c r="B130" s="228" t="s">
        <v>331</v>
      </c>
      <c r="C130" s="228"/>
      <c r="D130" s="237"/>
      <c r="E130" s="237"/>
      <c r="F130" s="239">
        <f>+F121-F129</f>
        <v>-8246860.9099999964</v>
      </c>
      <c r="G130" s="239"/>
      <c r="H130" s="239">
        <f>+H121-H129</f>
        <v>-347520731.24000001</v>
      </c>
      <c r="I130" s="240"/>
      <c r="J130" s="239">
        <f>+J121-J129</f>
        <v>71966835.580000013</v>
      </c>
      <c r="K130" s="240"/>
      <c r="L130" s="239">
        <f>+L121-L129</f>
        <v>105461846.59999998</v>
      </c>
    </row>
    <row r="131" spans="1:12" x14ac:dyDescent="0.4">
      <c r="A131" s="228"/>
      <c r="B131" s="228" t="s">
        <v>206</v>
      </c>
      <c r="C131" s="228"/>
      <c r="D131" s="247"/>
      <c r="E131" s="244"/>
      <c r="F131" s="248">
        <v>2983299.26</v>
      </c>
      <c r="G131" s="239"/>
      <c r="H131" s="248">
        <v>2673767.1</v>
      </c>
      <c r="I131" s="240"/>
      <c r="J131" s="167">
        <v>3170285.57</v>
      </c>
      <c r="K131" s="240"/>
      <c r="L131" s="167">
        <v>2875712.3</v>
      </c>
    </row>
    <row r="132" spans="1:12" x14ac:dyDescent="0.4">
      <c r="A132" s="228" t="s">
        <v>245</v>
      </c>
      <c r="B132" s="228"/>
      <c r="C132" s="228"/>
      <c r="D132" s="32"/>
      <c r="E132" s="32"/>
      <c r="F132" s="14">
        <f>+F130-F131</f>
        <v>-11230160.169999996</v>
      </c>
      <c r="G132" s="171"/>
      <c r="H132" s="14">
        <f>+H130-H131</f>
        <v>-350194498.34000003</v>
      </c>
      <c r="I132" s="240"/>
      <c r="J132" s="14">
        <f>+J130-J131</f>
        <v>68796550.01000002</v>
      </c>
      <c r="K132" s="240"/>
      <c r="L132" s="14">
        <f>+L130-L131</f>
        <v>102586134.29999998</v>
      </c>
    </row>
    <row r="133" spans="1:12" x14ac:dyDescent="0.4">
      <c r="A133" s="228" t="s">
        <v>260</v>
      </c>
      <c r="B133" s="228"/>
      <c r="C133" s="228"/>
      <c r="F133" s="181">
        <v>-4804056.05</v>
      </c>
      <c r="G133" s="239"/>
      <c r="H133" s="181">
        <v>-2825400.65</v>
      </c>
      <c r="I133" s="240"/>
      <c r="J133" s="167">
        <v>-6578699.4500000002</v>
      </c>
      <c r="K133" s="14"/>
      <c r="L133" s="167">
        <v>-4862525.66</v>
      </c>
    </row>
    <row r="134" spans="1:12" ht="18.75" thickBot="1" x14ac:dyDescent="0.45">
      <c r="A134" s="249" t="s">
        <v>162</v>
      </c>
      <c r="B134" s="228"/>
      <c r="C134" s="228"/>
      <c r="D134" s="237"/>
      <c r="E134" s="237"/>
      <c r="F134" s="250">
        <f>SUM(F132:F133)</f>
        <v>-16034216.219999995</v>
      </c>
      <c r="G134" s="239"/>
      <c r="H134" s="250">
        <f>SUM(H132:H133)</f>
        <v>-353019898.99000001</v>
      </c>
      <c r="I134" s="240"/>
      <c r="J134" s="250">
        <f>SUM(J132:J133)</f>
        <v>62217850.560000017</v>
      </c>
      <c r="K134" s="14"/>
      <c r="L134" s="250">
        <f>SUM(L132:L133)</f>
        <v>97723608.639999986</v>
      </c>
    </row>
    <row r="135" spans="1:12" ht="6.75" customHeight="1" thickTop="1" x14ac:dyDescent="0.4">
      <c r="A135" s="249"/>
      <c r="B135" s="228"/>
      <c r="C135" s="228"/>
      <c r="D135" s="237"/>
      <c r="E135" s="237"/>
      <c r="F135" s="239"/>
      <c r="G135" s="239"/>
      <c r="H135" s="239"/>
      <c r="I135" s="240"/>
      <c r="J135" s="239"/>
      <c r="K135" s="14"/>
      <c r="L135" s="239"/>
    </row>
    <row r="136" spans="1:12" ht="18.75" x14ac:dyDescent="0.4">
      <c r="A136" s="251" t="s">
        <v>231</v>
      </c>
      <c r="B136" s="252"/>
      <c r="C136" s="251"/>
      <c r="D136" s="237"/>
      <c r="E136" s="237"/>
      <c r="F136" s="239"/>
      <c r="G136" s="239"/>
      <c r="H136" s="239"/>
      <c r="I136" s="240"/>
      <c r="J136" s="239"/>
      <c r="K136" s="14"/>
      <c r="L136" s="239"/>
    </row>
    <row r="137" spans="1:12" ht="18.75" x14ac:dyDescent="0.4">
      <c r="A137" s="251"/>
      <c r="B137" s="249" t="s">
        <v>232</v>
      </c>
      <c r="C137" s="251"/>
      <c r="D137" s="237"/>
      <c r="E137" s="237"/>
      <c r="F137" s="239">
        <f>+F134-F138</f>
        <v>-15875312.529999996</v>
      </c>
      <c r="G137" s="239"/>
      <c r="H137" s="239">
        <f>+H134-H138</f>
        <v>-352927324.18000001</v>
      </c>
      <c r="I137" s="239"/>
      <c r="J137" s="239">
        <f>J134</f>
        <v>62217850.560000017</v>
      </c>
      <c r="K137" s="239"/>
      <c r="L137" s="239">
        <f>L134</f>
        <v>97723608.639999986</v>
      </c>
    </row>
    <row r="138" spans="1:12" ht="18.75" x14ac:dyDescent="0.4">
      <c r="A138" s="249"/>
      <c r="B138" s="228" t="s">
        <v>228</v>
      </c>
      <c r="C138" s="228"/>
      <c r="D138" s="237"/>
      <c r="E138" s="237"/>
      <c r="F138" s="248">
        <v>-158903.69</v>
      </c>
      <c r="G138" s="22"/>
      <c r="H138" s="248">
        <v>-92574.81</v>
      </c>
      <c r="I138" s="182"/>
      <c r="J138" s="183">
        <v>0</v>
      </c>
      <c r="K138" s="182"/>
      <c r="L138" s="183">
        <v>0</v>
      </c>
    </row>
    <row r="139" spans="1:12" ht="18.75" thickBot="1" x14ac:dyDescent="0.45">
      <c r="A139" s="228"/>
      <c r="B139" s="228"/>
      <c r="C139" s="228"/>
      <c r="D139" s="32"/>
      <c r="E139" s="32"/>
      <c r="F139" s="172">
        <f>SUM(F137:F138)</f>
        <v>-16034216.219999995</v>
      </c>
      <c r="G139" s="171"/>
      <c r="H139" s="172">
        <f>SUM(H137:H138)</f>
        <v>-353019898.99000001</v>
      </c>
      <c r="I139" s="240"/>
      <c r="J139" s="172">
        <f>SUM(J137:J138)</f>
        <v>62217850.560000017</v>
      </c>
      <c r="K139" s="240"/>
      <c r="L139" s="172">
        <f>SUM(L137:L138)</f>
        <v>97723608.639999986</v>
      </c>
    </row>
    <row r="140" spans="1:12" ht="5.25" customHeight="1" thickTop="1" x14ac:dyDescent="0.4">
      <c r="A140" s="228"/>
      <c r="B140" s="228"/>
      <c r="C140" s="228"/>
      <c r="D140" s="237"/>
      <c r="E140" s="237"/>
      <c r="F140" s="239"/>
      <c r="G140" s="239"/>
      <c r="H140" s="239"/>
      <c r="I140" s="240"/>
      <c r="J140" s="22"/>
      <c r="K140" s="240"/>
      <c r="L140" s="22"/>
    </row>
    <row r="141" spans="1:12" x14ac:dyDescent="0.4">
      <c r="A141" s="249" t="s">
        <v>238</v>
      </c>
      <c r="B141" s="228"/>
      <c r="C141" s="228"/>
      <c r="D141" s="253"/>
      <c r="E141" s="237"/>
      <c r="F141" s="239"/>
      <c r="G141" s="239"/>
      <c r="H141" s="239"/>
      <c r="I141" s="240"/>
      <c r="J141" s="22"/>
      <c r="K141" s="240"/>
      <c r="L141" s="22"/>
    </row>
    <row r="142" spans="1:12" ht="18.75" thickBot="1" x14ac:dyDescent="0.45">
      <c r="A142" s="228"/>
      <c r="B142" s="249" t="s">
        <v>202</v>
      </c>
      <c r="C142" s="228"/>
      <c r="D142" s="237">
        <v>23</v>
      </c>
      <c r="E142" s="237"/>
      <c r="F142" s="203">
        <f>+F137/F143</f>
        <v>-1.7042358666641026E-3</v>
      </c>
      <c r="G142" s="254"/>
      <c r="H142" s="203">
        <f>+H137/H143</f>
        <v>-4.0062010994131231E-2</v>
      </c>
      <c r="I142" s="255"/>
      <c r="J142" s="203">
        <f>+J137/J143</f>
        <v>6.6791688208168633E-3</v>
      </c>
      <c r="K142" s="255"/>
      <c r="L142" s="203">
        <f>+L137/L143</f>
        <v>1.1092947514953889E-2</v>
      </c>
    </row>
    <row r="143" spans="1:12" ht="19.5" thickTop="1" thickBot="1" x14ac:dyDescent="0.45">
      <c r="A143" s="228"/>
      <c r="B143" s="249" t="s">
        <v>163</v>
      </c>
      <c r="C143" s="228"/>
      <c r="D143" s="237"/>
      <c r="E143" s="237"/>
      <c r="F143" s="187">
        <v>9315208558</v>
      </c>
      <c r="G143" s="256"/>
      <c r="H143" s="187">
        <v>8809525918</v>
      </c>
      <c r="I143" s="267"/>
      <c r="J143" s="187">
        <v>9315208558</v>
      </c>
      <c r="K143" s="256"/>
      <c r="L143" s="187">
        <v>8809525918</v>
      </c>
    </row>
    <row r="144" spans="1:12" ht="6.75" customHeight="1" thickTop="1" x14ac:dyDescent="0.4">
      <c r="A144" s="228"/>
      <c r="B144" s="228"/>
      <c r="C144" s="228"/>
      <c r="D144" s="237"/>
      <c r="E144" s="237"/>
      <c r="F144" s="241"/>
      <c r="G144" s="241"/>
      <c r="H144" s="241"/>
      <c r="I144" s="240"/>
      <c r="J144" s="14"/>
      <c r="K144" s="240"/>
      <c r="L144" s="14"/>
    </row>
    <row r="145" spans="1:12" x14ac:dyDescent="0.4">
      <c r="A145" s="249" t="s">
        <v>239</v>
      </c>
      <c r="B145" s="228"/>
      <c r="C145" s="228"/>
      <c r="D145" s="253"/>
      <c r="E145" s="237"/>
      <c r="F145" s="239"/>
      <c r="G145" s="239"/>
      <c r="H145" s="239"/>
      <c r="I145" s="240"/>
      <c r="J145" s="22"/>
      <c r="K145" s="240"/>
      <c r="L145" s="22"/>
    </row>
    <row r="146" spans="1:12" ht="18.75" thickBot="1" x14ac:dyDescent="0.45">
      <c r="A146" s="228"/>
      <c r="B146" s="249" t="s">
        <v>202</v>
      </c>
      <c r="C146" s="228"/>
      <c r="D146" s="237">
        <v>23</v>
      </c>
      <c r="E146" s="237"/>
      <c r="F146" s="203">
        <f>+F137/F147</f>
        <v>-2.2598582198189057E-3</v>
      </c>
      <c r="G146" s="254"/>
      <c r="H146" s="203">
        <f>+H137/H147</f>
        <v>-3.8239461538445957E-2</v>
      </c>
      <c r="I146" s="255"/>
      <c r="J146" s="203">
        <f>+J137/J147</f>
        <v>8.8567403471130519E-3</v>
      </c>
      <c r="K146" s="255"/>
      <c r="L146" s="203">
        <f>+L137/L147</f>
        <v>1.0588293730642209E-2</v>
      </c>
    </row>
    <row r="147" spans="1:12" ht="19.5" thickTop="1" thickBot="1" x14ac:dyDescent="0.45">
      <c r="A147" s="228"/>
      <c r="B147" s="249" t="s">
        <v>163</v>
      </c>
      <c r="C147" s="228"/>
      <c r="D147" s="237"/>
      <c r="E147" s="237"/>
      <c r="F147" s="257">
        <v>7024915276</v>
      </c>
      <c r="G147" s="258"/>
      <c r="H147" s="257">
        <v>9229400990</v>
      </c>
      <c r="I147" s="267"/>
      <c r="J147" s="187">
        <v>7024915276</v>
      </c>
      <c r="K147" s="256"/>
      <c r="L147" s="187">
        <v>9229400990</v>
      </c>
    </row>
    <row r="148" spans="1:12" ht="6" customHeight="1" thickTop="1" x14ac:dyDescent="0.4">
      <c r="A148" s="228"/>
      <c r="B148" s="228"/>
      <c r="C148" s="228"/>
      <c r="D148" s="237"/>
      <c r="E148" s="237"/>
      <c r="F148" s="237"/>
      <c r="G148" s="237"/>
      <c r="H148" s="237"/>
      <c r="I148" s="228"/>
      <c r="J148" s="11"/>
      <c r="K148" s="228"/>
      <c r="L148" s="11"/>
    </row>
    <row r="149" spans="1:12" x14ac:dyDescent="0.4">
      <c r="A149" s="243" t="s">
        <v>298</v>
      </c>
      <c r="B149" s="228"/>
      <c r="C149" s="228"/>
      <c r="D149" s="237"/>
      <c r="E149" s="237"/>
      <c r="F149" s="22"/>
      <c r="G149" s="22"/>
      <c r="H149" s="22"/>
      <c r="I149" s="228"/>
      <c r="J149" s="11"/>
      <c r="K149" s="228"/>
      <c r="L149" s="11"/>
    </row>
    <row r="150" spans="1:12" x14ac:dyDescent="0.4">
      <c r="A150" s="243"/>
      <c r="B150" s="228"/>
      <c r="C150" s="228"/>
      <c r="D150" s="237"/>
      <c r="E150" s="237"/>
      <c r="F150" s="22"/>
      <c r="G150" s="22"/>
      <c r="H150" s="22"/>
      <c r="I150" s="228"/>
      <c r="J150" s="11"/>
      <c r="K150" s="228"/>
      <c r="L150" s="11"/>
    </row>
    <row r="151" spans="1:12" x14ac:dyDescent="0.4">
      <c r="A151" s="228"/>
      <c r="B151" s="228"/>
      <c r="C151" s="228"/>
      <c r="D151" s="237"/>
      <c r="E151" s="237"/>
      <c r="F151" s="237"/>
      <c r="G151" s="237"/>
      <c r="H151" s="237"/>
      <c r="I151" s="228"/>
      <c r="J151" s="11"/>
      <c r="K151" s="228"/>
      <c r="L151" s="11"/>
    </row>
    <row r="152" spans="1:12" x14ac:dyDescent="0.4">
      <c r="A152" s="237"/>
      <c r="B152" s="246" t="s">
        <v>144</v>
      </c>
      <c r="C152" s="237"/>
      <c r="D152" s="246"/>
      <c r="E152" s="237"/>
      <c r="F152" s="246" t="s">
        <v>144</v>
      </c>
      <c r="G152" s="237"/>
      <c r="H152" s="237"/>
      <c r="I152" s="237"/>
      <c r="J152" s="237"/>
      <c r="K152" s="237"/>
      <c r="L152" s="237"/>
    </row>
    <row r="153" spans="1:12" ht="13.5" customHeight="1" x14ac:dyDescent="0.4">
      <c r="A153" s="259">
        <v>6</v>
      </c>
      <c r="B153" s="259"/>
      <c r="C153" s="259"/>
      <c r="D153" s="259"/>
      <c r="E153" s="259"/>
      <c r="F153" s="259"/>
      <c r="G153" s="259"/>
      <c r="H153" s="259"/>
      <c r="I153" s="259"/>
      <c r="J153" s="259"/>
      <c r="K153" s="259"/>
      <c r="L153" s="259"/>
    </row>
    <row r="154" spans="1:12" x14ac:dyDescent="0.4">
      <c r="A154" s="228"/>
      <c r="B154" s="228"/>
      <c r="C154" s="228"/>
      <c r="D154" s="32"/>
      <c r="E154" s="32"/>
      <c r="F154" s="17"/>
      <c r="G154" s="32"/>
      <c r="H154" s="17"/>
      <c r="I154" s="228"/>
      <c r="J154" s="17"/>
      <c r="K154" s="243"/>
      <c r="L154" s="268"/>
    </row>
    <row r="155" spans="1:12" x14ac:dyDescent="0.4">
      <c r="A155" s="206" t="str">
        <f>A103</f>
        <v>THE BROOKER GROUP PUBLIC COMPANY LIMITED AND ITS SUBSIDIARIES</v>
      </c>
      <c r="B155" s="206"/>
      <c r="C155" s="206"/>
      <c r="D155" s="206"/>
      <c r="E155" s="206"/>
      <c r="F155" s="206"/>
      <c r="G155" s="206"/>
      <c r="H155" s="206"/>
      <c r="I155" s="206"/>
      <c r="J155" s="206"/>
      <c r="K155" s="206"/>
      <c r="L155" s="206"/>
    </row>
    <row r="156" spans="1:12" x14ac:dyDescent="0.4">
      <c r="A156" s="206" t="s">
        <v>221</v>
      </c>
      <c r="B156" s="206"/>
      <c r="C156" s="206"/>
      <c r="D156" s="206"/>
      <c r="E156" s="206"/>
      <c r="F156" s="206"/>
      <c r="G156" s="206"/>
      <c r="H156" s="206"/>
      <c r="I156" s="206"/>
      <c r="J156" s="206"/>
      <c r="K156" s="206"/>
      <c r="L156" s="206"/>
    </row>
    <row r="157" spans="1:12" x14ac:dyDescent="0.4">
      <c r="A157" s="206" t="str">
        <f>A105</f>
        <v>FOR  THE THREE-MONTH PERIOD ENDED JUNE 30, 2023</v>
      </c>
      <c r="B157" s="206"/>
      <c r="C157" s="206"/>
      <c r="D157" s="206"/>
      <c r="E157" s="206"/>
      <c r="F157" s="206"/>
      <c r="G157" s="206"/>
      <c r="H157" s="206"/>
      <c r="I157" s="206"/>
      <c r="J157" s="206"/>
      <c r="K157" s="206"/>
      <c r="L157" s="206"/>
    </row>
    <row r="158" spans="1:12" x14ac:dyDescent="0.4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</row>
    <row r="159" spans="1:12" x14ac:dyDescent="0.4">
      <c r="A159" s="228"/>
      <c r="B159" s="228"/>
      <c r="C159" s="27"/>
      <c r="F159" s="231" t="s">
        <v>132</v>
      </c>
      <c r="G159" s="231"/>
      <c r="H159" s="231"/>
      <c r="I159" s="231"/>
      <c r="J159" s="231"/>
      <c r="K159" s="231"/>
      <c r="L159" s="231"/>
    </row>
    <row r="160" spans="1:12" ht="18.75" x14ac:dyDescent="0.4">
      <c r="A160" s="228"/>
      <c r="B160" s="228"/>
      <c r="C160" s="228" t="s">
        <v>4</v>
      </c>
      <c r="F160" s="232" t="s">
        <v>198</v>
      </c>
      <c r="G160" s="232"/>
      <c r="H160" s="232"/>
      <c r="I160" s="233"/>
      <c r="J160" s="232" t="s">
        <v>199</v>
      </c>
      <c r="K160" s="232"/>
      <c r="L160" s="232"/>
    </row>
    <row r="161" spans="1:12" ht="18.75" x14ac:dyDescent="0.4">
      <c r="A161" s="228"/>
      <c r="B161" s="228"/>
      <c r="C161" s="228"/>
      <c r="F161" s="234" t="str">
        <f>+F108</f>
        <v>For the three-month period ended June 30</v>
      </c>
      <c r="G161" s="234"/>
      <c r="H161" s="234"/>
      <c r="I161" s="233"/>
      <c r="J161" s="234" t="str">
        <f>+J108</f>
        <v>For the three-month period ended June 30</v>
      </c>
      <c r="K161" s="234"/>
      <c r="L161" s="234"/>
    </row>
    <row r="162" spans="1:12" x14ac:dyDescent="0.4">
      <c r="A162" s="228"/>
      <c r="B162" s="228"/>
      <c r="C162" s="228"/>
      <c r="D162" s="235" t="s">
        <v>133</v>
      </c>
      <c r="F162" s="235">
        <f>+F109</f>
        <v>2023</v>
      </c>
      <c r="H162" s="235">
        <f>+H109</f>
        <v>2022</v>
      </c>
      <c r="J162" s="235">
        <f>+J109</f>
        <v>2023</v>
      </c>
      <c r="K162" s="230"/>
      <c r="L162" s="235">
        <f>+L109</f>
        <v>2022</v>
      </c>
    </row>
    <row r="163" spans="1:12" x14ac:dyDescent="0.4">
      <c r="A163" s="236"/>
      <c r="B163" s="228"/>
      <c r="C163" s="228"/>
      <c r="D163" s="237"/>
      <c r="E163" s="237"/>
      <c r="F163" s="238"/>
      <c r="G163" s="238"/>
      <c r="H163" s="244"/>
      <c r="I163" s="228"/>
      <c r="J163" s="11"/>
      <c r="K163" s="228"/>
      <c r="L163" s="244"/>
    </row>
    <row r="164" spans="1:12" x14ac:dyDescent="0.4">
      <c r="A164" s="228" t="s">
        <v>316</v>
      </c>
      <c r="B164" s="228"/>
      <c r="C164" s="228"/>
      <c r="D164" s="237"/>
      <c r="E164" s="237"/>
      <c r="F164" s="181">
        <f>+F134</f>
        <v>-16034216.219999995</v>
      </c>
      <c r="G164" s="239"/>
      <c r="H164" s="181">
        <f>+H134</f>
        <v>-353019898.99000001</v>
      </c>
      <c r="I164" s="240"/>
      <c r="J164" s="181">
        <f>+J134</f>
        <v>62217850.560000017</v>
      </c>
      <c r="K164" s="240"/>
      <c r="L164" s="181">
        <f>+L134</f>
        <v>97723608.639999986</v>
      </c>
    </row>
    <row r="165" spans="1:12" ht="6" customHeight="1" x14ac:dyDescent="0.4">
      <c r="A165" s="228"/>
      <c r="B165" s="228"/>
      <c r="C165" s="228"/>
      <c r="D165" s="237"/>
      <c r="E165" s="237"/>
      <c r="F165" s="171"/>
      <c r="G165" s="239"/>
      <c r="H165" s="171"/>
      <c r="I165" s="240"/>
      <c r="J165" s="171"/>
      <c r="K165" s="240"/>
      <c r="L165" s="171"/>
    </row>
    <row r="166" spans="1:12" x14ac:dyDescent="0.4">
      <c r="A166" s="228" t="s">
        <v>233</v>
      </c>
      <c r="B166" s="228"/>
      <c r="C166" s="228"/>
      <c r="D166" s="237"/>
      <c r="E166" s="237"/>
      <c r="F166" s="171"/>
      <c r="G166" s="239"/>
      <c r="H166" s="171"/>
      <c r="I166" s="240"/>
      <c r="J166" s="22"/>
      <c r="K166" s="240"/>
      <c r="L166" s="22"/>
    </row>
    <row r="167" spans="1:12" x14ac:dyDescent="0.4">
      <c r="A167" s="228" t="s">
        <v>281</v>
      </c>
      <c r="B167" s="260"/>
      <c r="C167" s="260"/>
      <c r="D167" s="237"/>
      <c r="E167" s="237"/>
      <c r="F167" s="24"/>
      <c r="G167" s="239"/>
      <c r="H167" s="227"/>
      <c r="J167" s="227"/>
      <c r="L167" s="227"/>
    </row>
    <row r="168" spans="1:12" x14ac:dyDescent="0.4">
      <c r="A168" s="260"/>
      <c r="B168" s="228" t="s">
        <v>319</v>
      </c>
      <c r="C168" s="260"/>
      <c r="D168" s="237"/>
      <c r="E168" s="237"/>
      <c r="F168" s="24"/>
      <c r="G168" s="239"/>
      <c r="H168" s="24"/>
      <c r="I168" s="240"/>
      <c r="J168" s="22"/>
      <c r="K168" s="240"/>
      <c r="L168" s="22"/>
    </row>
    <row r="169" spans="1:12" x14ac:dyDescent="0.4">
      <c r="A169" s="228"/>
      <c r="B169" s="261" t="s">
        <v>252</v>
      </c>
      <c r="C169" s="228"/>
      <c r="D169" s="237"/>
      <c r="E169" s="237"/>
      <c r="F169" s="24">
        <v>555462.51</v>
      </c>
      <c r="G169" s="239"/>
      <c r="H169" s="24">
        <v>8243813.4100000001</v>
      </c>
      <c r="I169" s="240"/>
      <c r="J169" s="22">
        <v>0</v>
      </c>
      <c r="K169" s="240"/>
      <c r="L169" s="22">
        <v>0</v>
      </c>
    </row>
    <row r="170" spans="1:12" ht="6" customHeight="1" x14ac:dyDescent="0.4">
      <c r="A170" s="228"/>
      <c r="B170" s="261"/>
      <c r="C170" s="228"/>
      <c r="D170" s="237"/>
      <c r="E170" s="237"/>
      <c r="F170" s="24"/>
      <c r="G170" s="239"/>
      <c r="H170" s="24"/>
      <c r="I170" s="240"/>
      <c r="J170" s="22"/>
      <c r="K170" s="240"/>
      <c r="L170" s="22"/>
    </row>
    <row r="171" spans="1:12" x14ac:dyDescent="0.4">
      <c r="A171" s="228" t="s">
        <v>283</v>
      </c>
      <c r="B171" s="260"/>
      <c r="C171" s="228"/>
      <c r="D171" s="237"/>
      <c r="E171" s="237"/>
      <c r="F171" s="24"/>
      <c r="G171" s="239"/>
      <c r="H171" s="24"/>
      <c r="I171" s="240"/>
      <c r="J171" s="22"/>
      <c r="K171" s="240"/>
      <c r="L171" s="22"/>
    </row>
    <row r="172" spans="1:12" x14ac:dyDescent="0.4">
      <c r="A172" s="260"/>
      <c r="B172" s="228" t="s">
        <v>282</v>
      </c>
      <c r="C172" s="228"/>
      <c r="D172" s="237"/>
      <c r="E172" s="237"/>
      <c r="F172" s="24"/>
      <c r="G172" s="239"/>
      <c r="H172" s="24"/>
      <c r="I172" s="240"/>
      <c r="J172" s="22"/>
      <c r="K172" s="240"/>
      <c r="L172" s="22"/>
    </row>
    <row r="173" spans="1:12" x14ac:dyDescent="0.4">
      <c r="A173" s="228"/>
      <c r="B173" s="228" t="s">
        <v>284</v>
      </c>
      <c r="C173" s="228"/>
      <c r="D173" s="237"/>
      <c r="E173" s="237"/>
      <c r="F173" s="24">
        <v>0</v>
      </c>
      <c r="G173" s="239"/>
      <c r="H173" s="24">
        <v>0</v>
      </c>
      <c r="I173" s="240"/>
      <c r="J173" s="22">
        <v>0</v>
      </c>
      <c r="K173" s="240"/>
      <c r="L173" s="22">
        <v>0</v>
      </c>
    </row>
    <row r="174" spans="1:12" x14ac:dyDescent="0.4">
      <c r="A174" s="228"/>
      <c r="B174" s="228" t="s">
        <v>285</v>
      </c>
      <c r="C174" s="228"/>
      <c r="D174" s="237"/>
      <c r="E174" s="237"/>
      <c r="F174" s="181">
        <v>0</v>
      </c>
      <c r="G174" s="239"/>
      <c r="H174" s="181">
        <v>0</v>
      </c>
      <c r="I174" s="240"/>
      <c r="J174" s="167">
        <v>0</v>
      </c>
      <c r="K174" s="240"/>
      <c r="L174" s="167">
        <v>0</v>
      </c>
    </row>
    <row r="175" spans="1:12" x14ac:dyDescent="0.4">
      <c r="A175" s="228" t="s">
        <v>317</v>
      </c>
      <c r="B175" s="228"/>
      <c r="C175" s="228"/>
      <c r="D175" s="237"/>
      <c r="E175" s="237"/>
      <c r="F175" s="184">
        <f>SUM(F168:F174)</f>
        <v>555462.51</v>
      </c>
      <c r="G175" s="239"/>
      <c r="H175" s="184">
        <f>SUM(H168:H174)</f>
        <v>8243813.4100000001</v>
      </c>
      <c r="I175" s="240"/>
      <c r="J175" s="184">
        <f>SUM(J168:J174)</f>
        <v>0</v>
      </c>
      <c r="K175" s="240"/>
      <c r="L175" s="184">
        <f>SUM(L168:L174)</f>
        <v>0</v>
      </c>
    </row>
    <row r="176" spans="1:12" x14ac:dyDescent="0.4">
      <c r="A176" s="228"/>
      <c r="B176" s="228"/>
      <c r="C176" s="228"/>
      <c r="D176" s="237"/>
      <c r="E176" s="237"/>
      <c r="F176" s="171"/>
      <c r="G176" s="239"/>
      <c r="H176" s="171"/>
      <c r="I176" s="240"/>
      <c r="J176" s="14"/>
      <c r="K176" s="240"/>
      <c r="L176" s="14"/>
    </row>
    <row r="177" spans="1:12" ht="18.75" thickBot="1" x14ac:dyDescent="0.45">
      <c r="A177" s="228" t="s">
        <v>318</v>
      </c>
      <c r="B177" s="228"/>
      <c r="C177" s="228"/>
      <c r="D177" s="237"/>
      <c r="E177" s="237"/>
      <c r="F177" s="178">
        <f>+F164+F175</f>
        <v>-15478753.709999995</v>
      </c>
      <c r="G177" s="239"/>
      <c r="H177" s="178">
        <f>+H164+H175</f>
        <v>-344776085.57999998</v>
      </c>
      <c r="I177" s="240"/>
      <c r="J177" s="178">
        <f>+J164+J175</f>
        <v>62217850.560000017</v>
      </c>
      <c r="K177" s="240"/>
      <c r="L177" s="178">
        <f>+L164+L175</f>
        <v>97723608.639999986</v>
      </c>
    </row>
    <row r="178" spans="1:12" ht="18.75" thickTop="1" x14ac:dyDescent="0.4">
      <c r="A178" s="228"/>
      <c r="B178" s="228"/>
      <c r="C178" s="228"/>
      <c r="D178" s="237"/>
      <c r="E178" s="237"/>
      <c r="F178" s="241"/>
      <c r="G178" s="241"/>
      <c r="H178" s="241"/>
      <c r="I178" s="240"/>
      <c r="J178" s="14"/>
      <c r="K178" s="240"/>
      <c r="L178" s="14"/>
    </row>
    <row r="179" spans="1:12" ht="18.75" x14ac:dyDescent="0.4">
      <c r="A179" s="249" t="s">
        <v>234</v>
      </c>
      <c r="B179" s="249"/>
      <c r="C179" s="249"/>
      <c r="D179" s="262"/>
      <c r="E179" s="156"/>
      <c r="F179" s="183"/>
      <c r="G179" s="263"/>
      <c r="H179" s="183"/>
      <c r="I179" s="182"/>
      <c r="J179" s="183"/>
      <c r="K179" s="263"/>
      <c r="L179" s="263"/>
    </row>
    <row r="180" spans="1:12" ht="18.75" x14ac:dyDescent="0.4">
      <c r="A180" s="249"/>
      <c r="B180" s="249" t="s">
        <v>232</v>
      </c>
      <c r="C180" s="249"/>
      <c r="D180" s="262"/>
      <c r="E180" s="264">
        <v>852812933</v>
      </c>
      <c r="F180" s="24">
        <f>+F177-F181</f>
        <v>-15319850.019999996</v>
      </c>
      <c r="G180" s="239"/>
      <c r="H180" s="24">
        <f>+H177-H181</f>
        <v>-344683510.76999998</v>
      </c>
      <c r="I180" s="239"/>
      <c r="J180" s="24">
        <f>+J177-J181</f>
        <v>62217850.560000017</v>
      </c>
      <c r="K180" s="239"/>
      <c r="L180" s="24">
        <f>+L177-L181</f>
        <v>97723608.639999986</v>
      </c>
    </row>
    <row r="181" spans="1:12" ht="18.75" x14ac:dyDescent="0.4">
      <c r="A181" s="249"/>
      <c r="B181" s="228" t="s">
        <v>228</v>
      </c>
      <c r="C181" s="228"/>
      <c r="D181" s="262"/>
      <c r="E181" s="264">
        <v>-1541152</v>
      </c>
      <c r="F181" s="24">
        <f>+F138</f>
        <v>-158903.69</v>
      </c>
      <c r="G181" s="22"/>
      <c r="H181" s="24">
        <f>+H138</f>
        <v>-92574.81</v>
      </c>
      <c r="I181" s="182"/>
      <c r="J181" s="24">
        <f>+J138</f>
        <v>0</v>
      </c>
      <c r="K181" s="182"/>
      <c r="L181" s="24">
        <f>+L138</f>
        <v>0</v>
      </c>
    </row>
    <row r="182" spans="1:12" ht="19.5" thickBot="1" x14ac:dyDescent="0.45">
      <c r="A182" s="265"/>
      <c r="B182" s="265"/>
      <c r="C182" s="265"/>
      <c r="D182" s="262"/>
      <c r="E182" s="264"/>
      <c r="F182" s="185">
        <f>SUM(F180:F181)</f>
        <v>-15478753.709999995</v>
      </c>
      <c r="G182" s="263"/>
      <c r="H182" s="250">
        <f>SUM(H180:H181)</f>
        <v>-344776085.57999998</v>
      </c>
      <c r="I182" s="263"/>
      <c r="J182" s="185">
        <f>SUM(J180:J181)</f>
        <v>62217850.560000017</v>
      </c>
      <c r="K182" s="263"/>
      <c r="L182" s="250">
        <f>SUM(L180:L181)</f>
        <v>97723608.639999986</v>
      </c>
    </row>
    <row r="183" spans="1:12" ht="19.5" thickTop="1" x14ac:dyDescent="0.4">
      <c r="A183" s="265"/>
      <c r="B183" s="265"/>
      <c r="C183" s="265"/>
      <c r="D183" s="262"/>
      <c r="E183" s="264"/>
      <c r="F183" s="24"/>
      <c r="G183" s="263"/>
      <c r="H183" s="239"/>
      <c r="I183" s="263"/>
      <c r="J183" s="239"/>
      <c r="K183" s="263"/>
      <c r="L183" s="239"/>
    </row>
    <row r="184" spans="1:12" ht="18.75" x14ac:dyDescent="0.4">
      <c r="A184" s="243" t="s">
        <v>257</v>
      </c>
      <c r="B184" s="265"/>
      <c r="C184" s="265"/>
      <c r="D184" s="262"/>
      <c r="E184" s="264"/>
      <c r="F184" s="24"/>
      <c r="G184" s="263"/>
      <c r="H184" s="239"/>
      <c r="I184" s="263"/>
      <c r="J184" s="239"/>
      <c r="K184" s="263"/>
      <c r="L184" s="239"/>
    </row>
    <row r="185" spans="1:12" ht="18.75" x14ac:dyDescent="0.4">
      <c r="A185" s="265"/>
      <c r="B185" s="265"/>
      <c r="C185" s="265"/>
      <c r="D185" s="262"/>
      <c r="E185" s="264"/>
      <c r="F185" s="24"/>
      <c r="G185" s="263"/>
      <c r="H185" s="239"/>
      <c r="I185" s="263"/>
      <c r="J185" s="239"/>
      <c r="K185" s="263"/>
      <c r="L185" s="239"/>
    </row>
    <row r="186" spans="1:12" ht="18.75" x14ac:dyDescent="0.4">
      <c r="A186" s="265"/>
      <c r="B186" s="265"/>
      <c r="C186" s="265"/>
      <c r="D186" s="262"/>
      <c r="E186" s="264"/>
      <c r="F186" s="24"/>
      <c r="G186" s="263"/>
      <c r="H186" s="239"/>
      <c r="I186" s="263"/>
      <c r="J186" s="239"/>
      <c r="K186" s="263"/>
      <c r="L186" s="239"/>
    </row>
    <row r="187" spans="1:12" ht="18.75" x14ac:dyDescent="0.4">
      <c r="A187" s="265"/>
      <c r="B187" s="265"/>
      <c r="C187" s="265"/>
      <c r="D187" s="262"/>
      <c r="E187" s="264"/>
      <c r="F187" s="24"/>
      <c r="G187" s="263"/>
      <c r="H187" s="239"/>
      <c r="I187" s="263"/>
      <c r="J187" s="239"/>
      <c r="K187" s="263"/>
      <c r="L187" s="239"/>
    </row>
    <row r="188" spans="1:12" ht="18.75" x14ac:dyDescent="0.4">
      <c r="A188" s="265"/>
      <c r="B188" s="265"/>
      <c r="C188" s="265"/>
      <c r="D188" s="262"/>
      <c r="E188" s="264"/>
      <c r="F188" s="24"/>
      <c r="G188" s="263"/>
      <c r="H188" s="239"/>
      <c r="I188" s="263"/>
      <c r="J188" s="239"/>
      <c r="K188" s="263"/>
      <c r="L188" s="239"/>
    </row>
    <row r="189" spans="1:12" ht="18.75" x14ac:dyDescent="0.4">
      <c r="A189" s="265"/>
      <c r="B189" s="265"/>
      <c r="C189" s="265"/>
      <c r="D189" s="262"/>
      <c r="E189" s="264"/>
      <c r="F189" s="24"/>
      <c r="G189" s="263"/>
      <c r="H189" s="239"/>
      <c r="I189" s="263"/>
      <c r="J189" s="239"/>
      <c r="K189" s="263"/>
      <c r="L189" s="239"/>
    </row>
    <row r="190" spans="1:12" ht="18.75" x14ac:dyDescent="0.4">
      <c r="A190" s="265"/>
      <c r="B190" s="265"/>
      <c r="C190" s="265"/>
      <c r="D190" s="262"/>
      <c r="E190" s="264"/>
      <c r="F190" s="24"/>
      <c r="G190" s="263"/>
      <c r="H190" s="239"/>
      <c r="I190" s="263"/>
      <c r="J190" s="239"/>
      <c r="K190" s="263"/>
      <c r="L190" s="239"/>
    </row>
    <row r="191" spans="1:12" ht="18.75" x14ac:dyDescent="0.4">
      <c r="A191" s="265"/>
      <c r="B191" s="265"/>
      <c r="C191" s="265"/>
      <c r="D191" s="262"/>
      <c r="E191" s="264"/>
      <c r="F191" s="24"/>
      <c r="G191" s="263"/>
      <c r="H191" s="239"/>
      <c r="I191" s="263"/>
      <c r="J191" s="239"/>
      <c r="K191" s="263"/>
      <c r="L191" s="239"/>
    </row>
    <row r="192" spans="1:12" ht="18.75" x14ac:dyDescent="0.4">
      <c r="A192" s="265"/>
      <c r="B192" s="265"/>
      <c r="C192" s="265"/>
      <c r="D192" s="262"/>
      <c r="E192" s="264"/>
      <c r="F192" s="24"/>
      <c r="G192" s="263"/>
      <c r="H192" s="239"/>
      <c r="I192" s="263"/>
      <c r="J192" s="239"/>
      <c r="K192" s="263"/>
      <c r="L192" s="239"/>
    </row>
    <row r="193" spans="1:12" ht="18.75" x14ac:dyDescent="0.4">
      <c r="A193" s="265"/>
      <c r="B193" s="265"/>
      <c r="C193" s="265"/>
      <c r="D193" s="262"/>
      <c r="E193" s="264"/>
      <c r="F193" s="24"/>
      <c r="G193" s="263"/>
      <c r="H193" s="239"/>
      <c r="I193" s="263"/>
      <c r="J193" s="239"/>
      <c r="K193" s="263"/>
      <c r="L193" s="239"/>
    </row>
    <row r="194" spans="1:12" ht="18.75" x14ac:dyDescent="0.4">
      <c r="A194" s="265"/>
      <c r="B194" s="265"/>
      <c r="C194" s="265"/>
      <c r="D194" s="262"/>
      <c r="E194" s="264"/>
      <c r="F194" s="24"/>
      <c r="G194" s="263"/>
      <c r="H194" s="239"/>
      <c r="I194" s="263"/>
      <c r="J194" s="239"/>
      <c r="K194" s="263"/>
      <c r="L194" s="239"/>
    </row>
    <row r="195" spans="1:12" ht="18.75" x14ac:dyDescent="0.4">
      <c r="A195" s="265"/>
      <c r="B195" s="265"/>
      <c r="C195" s="265"/>
      <c r="D195" s="262"/>
      <c r="E195" s="264"/>
      <c r="F195" s="24"/>
      <c r="G195" s="263"/>
      <c r="H195" s="239"/>
      <c r="I195" s="263"/>
      <c r="J195" s="239"/>
      <c r="K195" s="263"/>
      <c r="L195" s="239"/>
    </row>
    <row r="196" spans="1:12" ht="18.75" x14ac:dyDescent="0.4">
      <c r="A196" s="265"/>
      <c r="B196" s="265"/>
      <c r="C196" s="265"/>
      <c r="D196" s="262"/>
      <c r="E196" s="264"/>
      <c r="F196" s="24"/>
      <c r="G196" s="263"/>
      <c r="H196" s="239"/>
      <c r="I196" s="263"/>
      <c r="J196" s="239"/>
      <c r="K196" s="263"/>
      <c r="L196" s="239"/>
    </row>
    <row r="197" spans="1:12" ht="18.75" x14ac:dyDescent="0.4">
      <c r="A197" s="265"/>
      <c r="B197" s="265"/>
      <c r="C197" s="265"/>
      <c r="D197" s="262"/>
      <c r="E197" s="264"/>
      <c r="F197" s="24"/>
      <c r="G197" s="263"/>
      <c r="H197" s="239"/>
      <c r="I197" s="263"/>
      <c r="J197" s="239"/>
      <c r="K197" s="263"/>
      <c r="L197" s="239"/>
    </row>
    <row r="198" spans="1:12" ht="18.75" x14ac:dyDescent="0.4">
      <c r="A198" s="265"/>
      <c r="B198" s="265"/>
      <c r="C198" s="265"/>
      <c r="D198" s="262"/>
      <c r="E198" s="264"/>
      <c r="F198" s="24"/>
      <c r="G198" s="264"/>
      <c r="H198" s="238"/>
      <c r="I198" s="264"/>
      <c r="J198" s="238"/>
      <c r="K198" s="264"/>
      <c r="L198" s="238"/>
    </row>
    <row r="199" spans="1:12" x14ac:dyDescent="0.4">
      <c r="A199" s="266"/>
      <c r="B199" s="228"/>
      <c r="C199" s="228"/>
      <c r="D199" s="237"/>
      <c r="E199" s="237"/>
      <c r="F199" s="237"/>
      <c r="G199" s="237"/>
      <c r="H199" s="237"/>
      <c r="I199" s="228"/>
      <c r="J199" s="11"/>
      <c r="K199" s="228"/>
      <c r="L199" s="11"/>
    </row>
    <row r="200" spans="1:12" x14ac:dyDescent="0.4">
      <c r="A200" s="228"/>
      <c r="B200" s="228"/>
      <c r="C200" s="228"/>
      <c r="D200" s="237"/>
      <c r="E200" s="237"/>
      <c r="F200" s="237"/>
      <c r="G200" s="237"/>
      <c r="H200" s="237"/>
      <c r="I200" s="228"/>
      <c r="J200" s="11"/>
      <c r="K200" s="228"/>
      <c r="L200" s="11"/>
    </row>
    <row r="201" spans="1:12" x14ac:dyDescent="0.4">
      <c r="A201" s="237"/>
      <c r="B201" s="246" t="s">
        <v>144</v>
      </c>
      <c r="C201" s="237"/>
      <c r="D201" s="246"/>
      <c r="E201" s="237"/>
      <c r="F201" s="246" t="s">
        <v>144</v>
      </c>
      <c r="G201" s="237"/>
      <c r="H201" s="237"/>
      <c r="I201" s="237"/>
      <c r="J201" s="237"/>
      <c r="K201" s="237"/>
      <c r="L201" s="237"/>
    </row>
    <row r="202" spans="1:12" x14ac:dyDescent="0.4">
      <c r="A202" s="259">
        <v>7</v>
      </c>
      <c r="B202" s="259"/>
      <c r="C202" s="259"/>
      <c r="D202" s="259"/>
      <c r="E202" s="259"/>
      <c r="F202" s="259"/>
      <c r="G202" s="259"/>
      <c r="H202" s="259"/>
      <c r="I202" s="259"/>
      <c r="J202" s="259"/>
      <c r="K202" s="259"/>
      <c r="L202" s="259"/>
    </row>
  </sheetData>
  <mergeCells count="36">
    <mergeCell ref="A202:L202"/>
    <mergeCell ref="A157:L157"/>
    <mergeCell ref="F159:L159"/>
    <mergeCell ref="F160:H160"/>
    <mergeCell ref="J160:L160"/>
    <mergeCell ref="F161:H161"/>
    <mergeCell ref="J161:L161"/>
    <mergeCell ref="F108:H108"/>
    <mergeCell ref="J108:L108"/>
    <mergeCell ref="A153:L153"/>
    <mergeCell ref="A155:L155"/>
    <mergeCell ref="A156:L156"/>
    <mergeCell ref="A103:L103"/>
    <mergeCell ref="A104:L104"/>
    <mergeCell ref="A105:L105"/>
    <mergeCell ref="F106:L106"/>
    <mergeCell ref="F107:H107"/>
    <mergeCell ref="J107:L107"/>
    <mergeCell ref="A101:L101"/>
    <mergeCell ref="A56:L56"/>
    <mergeCell ref="A57:L57"/>
    <mergeCell ref="F61:H61"/>
    <mergeCell ref="J61:L61"/>
    <mergeCell ref="F59:L59"/>
    <mergeCell ref="F60:H60"/>
    <mergeCell ref="J60:L60"/>
    <mergeCell ref="A55:L55"/>
    <mergeCell ref="A2:L2"/>
    <mergeCell ref="A3:L3"/>
    <mergeCell ref="A4:L4"/>
    <mergeCell ref="A53:L53"/>
    <mergeCell ref="F6:H6"/>
    <mergeCell ref="J6:L6"/>
    <mergeCell ref="F7:H7"/>
    <mergeCell ref="F5:L5"/>
    <mergeCell ref="J7:L7"/>
  </mergeCells>
  <phoneticPr fontId="0" type="noConversion"/>
  <conditionalFormatting sqref="G38 F79:L79 E79:E97 G81:G97 I81:I97 K81:K97 E179:E198 G181:G198 I181:I198 K181:K198">
    <cfRule type="expression" priority="8" stopIfTrue="1">
      <formula>"if(E11&gt;0,#,##0;(#,##0),"-")"</formula>
    </cfRule>
  </conditionalFormatting>
  <conditionalFormatting sqref="G138 I138:L138 F179:L179">
    <cfRule type="expression" priority="5" stopIfTrue="1">
      <formula>"if(E11&gt;0,#,##0;(#,##0),"-")"</formula>
    </cfRule>
  </conditionalFormatting>
  <conditionalFormatting sqref="I38:L38">
    <cfRule type="expression" priority="3" stopIfTrue="1">
      <formula>"if(E11&gt;0,#,##0;(#,##0),"-")"</formula>
    </cfRule>
  </conditionalFormatting>
  <pageMargins left="0.45" right="0" top="0.4" bottom="0.27" header="0.3" footer="0"/>
  <pageSetup paperSize="9" scale="96" firstPageNumber="8" orientation="portrait" r:id="rId1"/>
  <headerFooter alignWithMargins="0"/>
  <rowBreaks count="3" manualBreakCount="3">
    <brk id="53" max="11" man="1"/>
    <brk id="101" max="11" man="1"/>
    <brk id="1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49"/>
  <sheetViews>
    <sheetView view="pageBreakPreview" zoomScaleNormal="100" zoomScaleSheetLayoutView="100" workbookViewId="0">
      <selection activeCell="A9" sqref="A9"/>
    </sheetView>
  </sheetViews>
  <sheetFormatPr defaultColWidth="9.140625" defaultRowHeight="18" x14ac:dyDescent="0.4"/>
  <cols>
    <col min="1" max="1" width="35.140625" style="9" customWidth="1"/>
    <col min="2" max="2" width="5.140625" style="9" customWidth="1"/>
    <col min="3" max="3" width="1.140625" style="9" customWidth="1"/>
    <col min="4" max="4" width="12.42578125" style="9" bestFit="1" customWidth="1"/>
    <col min="5" max="5" width="1.140625" style="9" customWidth="1"/>
    <col min="6" max="6" width="10.85546875" style="9" hidden="1" customWidth="1"/>
    <col min="7" max="7" width="1.140625" style="9" hidden="1" customWidth="1"/>
    <col min="8" max="8" width="11.5703125" style="9" customWidth="1"/>
    <col min="9" max="9" width="1.140625" style="9" customWidth="1"/>
    <col min="10" max="10" width="11.85546875" style="9" customWidth="1"/>
    <col min="11" max="11" width="0.85546875" style="9" customWidth="1"/>
    <col min="12" max="12" width="11.85546875" style="9" customWidth="1"/>
    <col min="13" max="13" width="1" style="9" customWidth="1"/>
    <col min="14" max="14" width="12.7109375" style="9" customWidth="1"/>
    <col min="15" max="15" width="1" style="9" customWidth="1"/>
    <col min="16" max="16" width="13.42578125" style="9" customWidth="1"/>
    <col min="17" max="17" width="1" style="9" customWidth="1"/>
    <col min="18" max="18" width="11.85546875" style="9" customWidth="1"/>
    <col min="19" max="19" width="1" style="9" customWidth="1"/>
    <col min="20" max="20" width="12.85546875" style="9" customWidth="1"/>
    <col min="21" max="21" width="1.140625" style="9" customWidth="1"/>
    <col min="22" max="22" width="12.85546875" style="9" bestFit="1" customWidth="1"/>
    <col min="23" max="23" width="1.140625" style="9" customWidth="1"/>
    <col min="24" max="24" width="11.7109375" style="9" bestFit="1" customWidth="1"/>
    <col min="25" max="25" width="1.140625" style="9" customWidth="1"/>
    <col min="26" max="26" width="12.85546875" style="9" bestFit="1" customWidth="1"/>
    <col min="27" max="27" width="11.28515625" style="9" hidden="1" customWidth="1"/>
    <col min="28" max="28" width="12.42578125" style="9" bestFit="1" customWidth="1"/>
    <col min="29" max="29" width="16.85546875" style="9" customWidth="1"/>
    <col min="30" max="16384" width="9.140625" style="9"/>
  </cols>
  <sheetData>
    <row r="1" spans="1:29" ht="21.75" customHeight="1" x14ac:dyDescent="0.4">
      <c r="A1" s="3"/>
      <c r="X1" s="211"/>
      <c r="Y1" s="211"/>
      <c r="Z1" s="211"/>
    </row>
    <row r="2" spans="1:29" ht="18.75" customHeight="1" x14ac:dyDescent="0.4">
      <c r="A2" s="3"/>
      <c r="X2" s="211" t="s">
        <v>309</v>
      </c>
      <c r="Y2" s="211"/>
      <c r="Z2" s="211"/>
    </row>
    <row r="3" spans="1:29" x14ac:dyDescent="0.4">
      <c r="A3" s="212" t="s">
        <v>131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</row>
    <row r="4" spans="1:29" x14ac:dyDescent="0.4">
      <c r="A4" s="212" t="s">
        <v>246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18"/>
      <c r="AB4" s="18"/>
    </row>
    <row r="5" spans="1:29" ht="18" customHeight="1" x14ac:dyDescent="0.4">
      <c r="A5" s="212" t="s">
        <v>200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</row>
    <row r="6" spans="1:29" x14ac:dyDescent="0.4">
      <c r="A6" s="212" t="s">
        <v>372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</row>
    <row r="7" spans="1:29" ht="7.5" customHeight="1" x14ac:dyDescent="0.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9" x14ac:dyDescent="0.4">
      <c r="A8" s="29"/>
      <c r="B8" s="8"/>
      <c r="C8" s="8"/>
      <c r="D8" s="215" t="s">
        <v>164</v>
      </c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</row>
    <row r="9" spans="1:29" x14ac:dyDescent="0.4">
      <c r="A9" s="29"/>
      <c r="B9" s="8"/>
      <c r="C9" s="8"/>
      <c r="D9" s="22"/>
      <c r="E9" s="22"/>
      <c r="F9" s="132"/>
      <c r="G9" s="132"/>
      <c r="H9" s="132"/>
      <c r="I9" s="22"/>
      <c r="J9" s="22"/>
      <c r="K9" s="22"/>
      <c r="L9" s="213" t="s">
        <v>152</v>
      </c>
      <c r="M9" s="213"/>
      <c r="N9" s="213"/>
      <c r="O9" s="14"/>
      <c r="P9" s="214" t="s">
        <v>224</v>
      </c>
      <c r="Q9" s="214"/>
      <c r="R9" s="214"/>
      <c r="S9" s="214"/>
      <c r="T9" s="214"/>
      <c r="U9" s="8"/>
      <c r="V9" s="158"/>
      <c r="W9" s="155"/>
      <c r="X9" s="159"/>
    </row>
    <row r="10" spans="1:29" x14ac:dyDescent="0.4">
      <c r="D10" s="132"/>
      <c r="E10" s="14"/>
      <c r="F10" s="132"/>
      <c r="G10" s="132"/>
      <c r="H10" s="132"/>
      <c r="I10" s="14"/>
      <c r="J10" s="32" t="s">
        <v>274</v>
      </c>
      <c r="K10" s="14"/>
      <c r="O10" s="32"/>
      <c r="P10" s="32"/>
      <c r="Q10" s="32"/>
      <c r="R10" s="35" t="s">
        <v>290</v>
      </c>
      <c r="S10" s="35"/>
      <c r="T10" s="34"/>
      <c r="U10" s="14"/>
      <c r="V10" s="13" t="s">
        <v>244</v>
      </c>
      <c r="W10" s="34"/>
    </row>
    <row r="11" spans="1:29" x14ac:dyDescent="0.4">
      <c r="B11" s="13"/>
      <c r="D11" s="32" t="s">
        <v>196</v>
      </c>
      <c r="E11" s="32"/>
      <c r="F11" s="32"/>
      <c r="G11" s="32"/>
      <c r="H11" s="32" t="s">
        <v>272</v>
      </c>
      <c r="I11" s="32"/>
      <c r="J11" s="32" t="s">
        <v>275</v>
      </c>
      <c r="K11" s="32"/>
      <c r="L11" s="32"/>
      <c r="M11" s="32"/>
      <c r="N11" s="32"/>
      <c r="O11" s="32"/>
      <c r="P11" s="32" t="s">
        <v>168</v>
      </c>
      <c r="Q11" s="32"/>
      <c r="R11" s="35" t="s">
        <v>291</v>
      </c>
      <c r="S11" s="35"/>
      <c r="T11" s="34" t="s">
        <v>226</v>
      </c>
      <c r="U11" s="14"/>
      <c r="V11" s="8" t="s">
        <v>243</v>
      </c>
      <c r="W11" s="34"/>
      <c r="X11" s="34" t="s">
        <v>222</v>
      </c>
    </row>
    <row r="12" spans="1:29" x14ac:dyDescent="0.4">
      <c r="B12" s="13"/>
      <c r="D12" s="32" t="s">
        <v>165</v>
      </c>
      <c r="E12" s="32"/>
      <c r="F12" s="32"/>
      <c r="G12" s="32"/>
      <c r="H12" s="32" t="s">
        <v>273</v>
      </c>
      <c r="I12" s="32"/>
      <c r="J12" s="32" t="s">
        <v>276</v>
      </c>
      <c r="K12" s="32"/>
      <c r="L12" s="32" t="s">
        <v>172</v>
      </c>
      <c r="M12" s="32"/>
      <c r="N12" s="32"/>
      <c r="O12" s="32"/>
      <c r="P12" s="32" t="s">
        <v>169</v>
      </c>
      <c r="Q12" s="32"/>
      <c r="R12" s="35" t="s">
        <v>292</v>
      </c>
      <c r="S12" s="35"/>
      <c r="T12" s="32" t="s">
        <v>227</v>
      </c>
      <c r="U12" s="14"/>
      <c r="V12" s="8" t="s">
        <v>215</v>
      </c>
      <c r="W12" s="34"/>
      <c r="X12" s="34" t="s">
        <v>223</v>
      </c>
    </row>
    <row r="13" spans="1:29" x14ac:dyDescent="0.4">
      <c r="B13" s="163" t="s">
        <v>214</v>
      </c>
      <c r="D13" s="201" t="s">
        <v>166</v>
      </c>
      <c r="E13" s="201"/>
      <c r="F13" s="201" t="s">
        <v>237</v>
      </c>
      <c r="G13" s="201"/>
      <c r="H13" s="201" t="s">
        <v>167</v>
      </c>
      <c r="I13" s="201"/>
      <c r="J13" s="201" t="s">
        <v>277</v>
      </c>
      <c r="K13" s="201"/>
      <c r="L13" s="201" t="s">
        <v>173</v>
      </c>
      <c r="M13" s="201"/>
      <c r="N13" s="201" t="s">
        <v>154</v>
      </c>
      <c r="O13" s="35"/>
      <c r="P13" s="201" t="s">
        <v>170</v>
      </c>
      <c r="Q13" s="35"/>
      <c r="R13" s="201" t="s">
        <v>293</v>
      </c>
      <c r="S13" s="35"/>
      <c r="T13" s="201" t="s">
        <v>225</v>
      </c>
      <c r="U13" s="14"/>
      <c r="V13" s="38" t="s">
        <v>216</v>
      </c>
      <c r="W13" s="34"/>
      <c r="X13" s="200" t="s">
        <v>240</v>
      </c>
      <c r="Z13" s="200" t="s">
        <v>174</v>
      </c>
      <c r="AC13" s="35"/>
    </row>
    <row r="14" spans="1:29" x14ac:dyDescent="0.4">
      <c r="C14" s="35"/>
      <c r="D14" s="165"/>
      <c r="E14" s="165"/>
      <c r="F14" s="165"/>
      <c r="G14" s="165"/>
      <c r="H14" s="165"/>
      <c r="I14" s="165"/>
      <c r="J14" s="165"/>
      <c r="K14" s="165"/>
      <c r="L14" s="35"/>
      <c r="M14" s="35"/>
      <c r="N14" s="176"/>
      <c r="O14" s="165"/>
      <c r="P14" s="165"/>
      <c r="Q14" s="165"/>
      <c r="R14" s="35"/>
      <c r="S14" s="35"/>
      <c r="T14" s="35"/>
      <c r="U14" s="165"/>
      <c r="V14" s="35"/>
      <c r="W14" s="35"/>
      <c r="X14" s="35"/>
      <c r="Y14" s="165"/>
      <c r="Z14" s="176"/>
    </row>
    <row r="15" spans="1:29" x14ac:dyDescent="0.4">
      <c r="A15" s="9" t="s">
        <v>345</v>
      </c>
      <c r="D15" s="22">
        <v>1031660147.25</v>
      </c>
      <c r="E15" s="22"/>
      <c r="F15" s="22">
        <v>0</v>
      </c>
      <c r="G15" s="22"/>
      <c r="H15" s="22">
        <v>669983717.94000006</v>
      </c>
      <c r="I15" s="22"/>
      <c r="J15" s="22">
        <v>29008465.079999998</v>
      </c>
      <c r="K15" s="22"/>
      <c r="L15" s="22">
        <v>97705272.879999995</v>
      </c>
      <c r="M15" s="22"/>
      <c r="N15" s="22">
        <v>1359033915.25</v>
      </c>
      <c r="O15" s="22"/>
      <c r="P15" s="22">
        <v>-8675530.0099999998</v>
      </c>
      <c r="Q15" s="22"/>
      <c r="R15" s="22">
        <v>0</v>
      </c>
      <c r="S15" s="22"/>
      <c r="T15" s="22">
        <f>SUM(P15:S15)</f>
        <v>-8675530.0099999998</v>
      </c>
      <c r="U15" s="22"/>
      <c r="V15" s="22">
        <f>SUM(D15:O15)+T15</f>
        <v>3178715988.3899999</v>
      </c>
      <c r="W15" s="22"/>
      <c r="X15" s="22">
        <v>171232833.56999999</v>
      </c>
      <c r="Y15" s="165"/>
      <c r="Z15" s="22">
        <f>SUM(V15:X15)</f>
        <v>3349948821.96</v>
      </c>
      <c r="AB15" s="165"/>
      <c r="AC15" s="165"/>
    </row>
    <row r="16" spans="1:29" ht="6.75" customHeight="1" x14ac:dyDescent="0.4">
      <c r="B16" s="13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65"/>
      <c r="Z16" s="22"/>
    </row>
    <row r="17" spans="1:29" x14ac:dyDescent="0.4">
      <c r="A17" s="9" t="s">
        <v>265</v>
      </c>
      <c r="B17" s="13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165"/>
      <c r="Z17" s="22"/>
    </row>
    <row r="18" spans="1:29" x14ac:dyDescent="0.4">
      <c r="A18" s="9" t="s">
        <v>314</v>
      </c>
      <c r="B18" s="13"/>
      <c r="D18" s="22">
        <v>27905071.670000002</v>
      </c>
      <c r="E18" s="14"/>
      <c r="F18" s="22">
        <v>0</v>
      </c>
      <c r="G18" s="22"/>
      <c r="H18" s="22">
        <v>18280555.23</v>
      </c>
      <c r="I18" s="14"/>
      <c r="J18" s="22">
        <v>-29008465.079999998</v>
      </c>
      <c r="K18" s="22"/>
      <c r="L18" s="22">
        <v>0</v>
      </c>
      <c r="M18" s="22"/>
      <c r="N18" s="22">
        <v>0</v>
      </c>
      <c r="O18" s="22"/>
      <c r="P18" s="22">
        <v>0</v>
      </c>
      <c r="Q18" s="22"/>
      <c r="R18" s="22">
        <v>0</v>
      </c>
      <c r="S18" s="22"/>
      <c r="T18" s="22">
        <f t="shared" ref="T18" si="0">SUM(P18:S18)</f>
        <v>0</v>
      </c>
      <c r="U18" s="22"/>
      <c r="V18" s="22">
        <f t="shared" ref="V18" si="1">SUM(D18:O18)+T18</f>
        <v>17177161.820000008</v>
      </c>
      <c r="W18" s="22"/>
      <c r="X18" s="22">
        <v>0</v>
      </c>
      <c r="Y18" s="165"/>
      <c r="Z18" s="22">
        <f t="shared" ref="Z18" si="2">SUM(V18:X18)</f>
        <v>17177161.820000008</v>
      </c>
    </row>
    <row r="19" spans="1:29" x14ac:dyDescent="0.4">
      <c r="A19" s="9" t="s">
        <v>349</v>
      </c>
      <c r="B19" s="13">
        <v>24</v>
      </c>
      <c r="D19" s="22">
        <v>104835850.84</v>
      </c>
      <c r="E19" s="14"/>
      <c r="F19" s="22">
        <v>0</v>
      </c>
      <c r="G19" s="22"/>
      <c r="H19" s="22">
        <v>0</v>
      </c>
      <c r="I19" s="14"/>
      <c r="J19" s="22">
        <v>0</v>
      </c>
      <c r="K19" s="22"/>
      <c r="L19" s="22">
        <v>0</v>
      </c>
      <c r="M19" s="22"/>
      <c r="N19" s="22">
        <v>-104835850.84</v>
      </c>
      <c r="O19" s="22"/>
      <c r="P19" s="22">
        <v>0</v>
      </c>
      <c r="Q19" s="22"/>
      <c r="R19" s="22">
        <v>0</v>
      </c>
      <c r="S19" s="22"/>
      <c r="T19" s="22">
        <f t="shared" ref="T19" si="3">SUM(P19:S19)</f>
        <v>0</v>
      </c>
      <c r="U19" s="22"/>
      <c r="V19" s="22">
        <f t="shared" ref="V19" si="4">SUM(D19:O19)+T19</f>
        <v>0</v>
      </c>
      <c r="W19" s="22"/>
      <c r="X19" s="22">
        <v>0</v>
      </c>
      <c r="Y19" s="165"/>
      <c r="Z19" s="22">
        <f t="shared" ref="Z19" si="5">SUM(V19:X19)</f>
        <v>0</v>
      </c>
    </row>
    <row r="20" spans="1:29" x14ac:dyDescent="0.4">
      <c r="A20" s="9" t="s">
        <v>259</v>
      </c>
      <c r="B20" s="13">
        <v>24</v>
      </c>
      <c r="D20" s="22">
        <v>0</v>
      </c>
      <c r="E20" s="14"/>
      <c r="F20" s="22">
        <v>0</v>
      </c>
      <c r="G20" s="22"/>
      <c r="H20" s="22">
        <v>0</v>
      </c>
      <c r="I20" s="14"/>
      <c r="J20" s="22">
        <v>0</v>
      </c>
      <c r="K20" s="22"/>
      <c r="L20" s="22">
        <v>0</v>
      </c>
      <c r="M20" s="22"/>
      <c r="N20" s="22">
        <v>-41934415.479999997</v>
      </c>
      <c r="O20" s="22"/>
      <c r="P20" s="22">
        <v>0</v>
      </c>
      <c r="Q20" s="22"/>
      <c r="R20" s="22">
        <v>0</v>
      </c>
      <c r="S20" s="22"/>
      <c r="T20" s="22">
        <f>SUM(P20:S20)</f>
        <v>0</v>
      </c>
      <c r="U20" s="22"/>
      <c r="V20" s="22">
        <f>SUM(D20:O20)+T20</f>
        <v>-41934415.479999997</v>
      </c>
      <c r="W20" s="22"/>
      <c r="X20" s="22">
        <v>-67625880</v>
      </c>
      <c r="Y20" s="165"/>
      <c r="Z20" s="22">
        <f>SUM(V20:X20)</f>
        <v>-109560295.47999999</v>
      </c>
    </row>
    <row r="21" spans="1:29" x14ac:dyDescent="0.4">
      <c r="A21" s="9" t="s">
        <v>256</v>
      </c>
      <c r="B21" s="13"/>
      <c r="D21" s="22">
        <v>0</v>
      </c>
      <c r="E21" s="14"/>
      <c r="F21" s="22">
        <v>0</v>
      </c>
      <c r="G21" s="22"/>
      <c r="H21" s="22">
        <v>0</v>
      </c>
      <c r="I21" s="14"/>
      <c r="J21" s="22">
        <v>0</v>
      </c>
      <c r="K21" s="22"/>
      <c r="L21" s="22">
        <v>3803303.93</v>
      </c>
      <c r="M21" s="22"/>
      <c r="N21" s="22">
        <f>-L21</f>
        <v>-3803303.93</v>
      </c>
      <c r="O21" s="22"/>
      <c r="P21" s="22">
        <v>0</v>
      </c>
      <c r="Q21" s="22"/>
      <c r="R21" s="22">
        <v>0</v>
      </c>
      <c r="S21" s="22"/>
      <c r="T21" s="22">
        <f>SUM(P21:S21)</f>
        <v>0</v>
      </c>
      <c r="U21" s="22"/>
      <c r="V21" s="22">
        <f>SUM(D21:O21)+T21</f>
        <v>0</v>
      </c>
      <c r="W21" s="22"/>
      <c r="X21" s="22">
        <v>0</v>
      </c>
      <c r="Y21" s="165"/>
      <c r="Z21" s="22">
        <f>SUM(V21:X21)</f>
        <v>0</v>
      </c>
    </row>
    <row r="22" spans="1:29" x14ac:dyDescent="0.4">
      <c r="A22" s="9" t="s">
        <v>297</v>
      </c>
      <c r="D22" s="22">
        <v>0</v>
      </c>
      <c r="E22" s="22"/>
      <c r="F22" s="22">
        <v>0</v>
      </c>
      <c r="G22" s="22"/>
      <c r="H22" s="22">
        <v>0</v>
      </c>
      <c r="I22" s="22"/>
      <c r="J22" s="22">
        <v>0</v>
      </c>
      <c r="K22" s="22"/>
      <c r="L22" s="14">
        <v>0</v>
      </c>
      <c r="M22" s="14"/>
      <c r="N22" s="14">
        <f>+'PL_Q2-66'!H37</f>
        <v>-311810227.47999996</v>
      </c>
      <c r="O22" s="22"/>
      <c r="P22" s="22">
        <f>+'PL_Q2-66'!H69</f>
        <v>9535850.2300000004</v>
      </c>
      <c r="Q22" s="22"/>
      <c r="R22" s="14">
        <v>-230282.4</v>
      </c>
      <c r="S22" s="14"/>
      <c r="T22" s="14">
        <f>SUM(P22:S22)</f>
        <v>9305567.8300000001</v>
      </c>
      <c r="U22" s="22"/>
      <c r="V22" s="22">
        <f>SUM(D22:O22)+T22</f>
        <v>-302504659.64999998</v>
      </c>
      <c r="W22" s="22"/>
      <c r="X22" s="22">
        <v>-298747.53999999998</v>
      </c>
      <c r="Y22" s="165"/>
      <c r="Z22" s="22">
        <f>SUM(V22:X22)</f>
        <v>-302803407.19</v>
      </c>
      <c r="AB22" s="165">
        <f>N22-'PL_Q2-66'!H37</f>
        <v>0</v>
      </c>
    </row>
    <row r="23" spans="1:29" x14ac:dyDescent="0.4">
      <c r="A23" s="9" t="s">
        <v>286</v>
      </c>
      <c r="D23" s="22"/>
      <c r="E23" s="22"/>
      <c r="F23" s="22"/>
      <c r="G23" s="22"/>
      <c r="H23" s="22"/>
      <c r="I23" s="22"/>
      <c r="J23" s="22"/>
      <c r="K23" s="22"/>
      <c r="L23" s="14"/>
      <c r="M23" s="14"/>
      <c r="N23" s="14"/>
      <c r="O23" s="22"/>
      <c r="P23" s="22"/>
      <c r="Q23" s="22"/>
      <c r="R23" s="14"/>
      <c r="S23" s="14"/>
      <c r="T23" s="14"/>
      <c r="U23" s="22"/>
      <c r="V23" s="22"/>
      <c r="W23" s="22"/>
      <c r="X23" s="22"/>
      <c r="Y23" s="165"/>
      <c r="Z23" s="22"/>
      <c r="AB23" s="165"/>
    </row>
    <row r="24" spans="1:29" x14ac:dyDescent="0.4">
      <c r="A24" s="9" t="s">
        <v>287</v>
      </c>
      <c r="D24" s="22">
        <v>0</v>
      </c>
      <c r="E24" s="22"/>
      <c r="F24" s="22">
        <v>0</v>
      </c>
      <c r="G24" s="22"/>
      <c r="H24" s="22">
        <v>0</v>
      </c>
      <c r="I24" s="22"/>
      <c r="J24" s="22">
        <v>0</v>
      </c>
      <c r="K24" s="22"/>
      <c r="L24" s="14">
        <v>0</v>
      </c>
      <c r="M24" s="14"/>
      <c r="N24" s="14">
        <f>-R24</f>
        <v>-230282.4</v>
      </c>
      <c r="O24" s="22"/>
      <c r="P24" s="22">
        <f>+'PL_Q2-66'!F57</f>
        <v>0</v>
      </c>
      <c r="Q24" s="22"/>
      <c r="R24" s="14">
        <f>-R22</f>
        <v>230282.4</v>
      </c>
      <c r="S24" s="14"/>
      <c r="T24" s="14">
        <f>SUM(P24:S24)</f>
        <v>230282.4</v>
      </c>
      <c r="U24" s="22"/>
      <c r="V24" s="22">
        <f>SUM(D24:O24)+T24</f>
        <v>0</v>
      </c>
      <c r="W24" s="22"/>
      <c r="X24" s="22">
        <v>0</v>
      </c>
      <c r="Y24" s="165"/>
      <c r="Z24" s="22">
        <f>SUM(V24:X24)</f>
        <v>0</v>
      </c>
      <c r="AB24" s="165"/>
    </row>
    <row r="25" spans="1:29" ht="9.75" customHeight="1" x14ac:dyDescent="0.4">
      <c r="B25" s="13"/>
      <c r="D25" s="167"/>
      <c r="E25" s="165"/>
      <c r="F25" s="167"/>
      <c r="G25" s="22"/>
      <c r="H25" s="167"/>
      <c r="I25" s="165"/>
      <c r="J25" s="167"/>
      <c r="K25" s="22"/>
      <c r="L25" s="167"/>
      <c r="M25" s="177"/>
      <c r="N25" s="167"/>
      <c r="O25" s="22"/>
      <c r="P25" s="167"/>
      <c r="Q25" s="22"/>
      <c r="R25" s="167"/>
      <c r="S25" s="22"/>
      <c r="T25" s="167"/>
      <c r="U25" s="165"/>
      <c r="V25" s="167"/>
      <c r="W25" s="22"/>
      <c r="X25" s="167"/>
      <c r="Y25" s="165"/>
      <c r="Z25" s="167"/>
    </row>
    <row r="26" spans="1:29" ht="10.5" hidden="1" customHeight="1" x14ac:dyDescent="0.4"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22"/>
      <c r="W26" s="22"/>
      <c r="X26" s="22"/>
      <c r="Y26" s="165"/>
      <c r="Z26" s="165"/>
    </row>
    <row r="27" spans="1:29" ht="18.75" thickBot="1" x14ac:dyDescent="0.45">
      <c r="A27" s="9" t="s">
        <v>348</v>
      </c>
      <c r="D27" s="178">
        <f>SUM(D15:D26)</f>
        <v>1164401069.76</v>
      </c>
      <c r="E27" s="14"/>
      <c r="F27" s="178">
        <f>SUM(F15:F26)</f>
        <v>0</v>
      </c>
      <c r="G27" s="22"/>
      <c r="H27" s="178">
        <f>SUM(H15:H26)</f>
        <v>688264273.17000008</v>
      </c>
      <c r="I27" s="14"/>
      <c r="J27" s="178">
        <f>SUM(J15:J26)</f>
        <v>0</v>
      </c>
      <c r="K27" s="22"/>
      <c r="L27" s="178">
        <f>SUM(L15:L26)</f>
        <v>101508576.81</v>
      </c>
      <c r="M27" s="14"/>
      <c r="N27" s="178">
        <f>SUM(N15:N26)</f>
        <v>896419835.12</v>
      </c>
      <c r="O27" s="22"/>
      <c r="P27" s="178">
        <f>SUM(P15:P26)</f>
        <v>860320.22000000067</v>
      </c>
      <c r="Q27" s="22"/>
      <c r="R27" s="178">
        <f>SUM(R15:R26)</f>
        <v>0</v>
      </c>
      <c r="S27" s="22"/>
      <c r="T27" s="178">
        <f>SUM(T15:T26)</f>
        <v>860320.22000000032</v>
      </c>
      <c r="U27" s="14"/>
      <c r="V27" s="178">
        <f>SUM(V15:V26)</f>
        <v>2851454075.0799999</v>
      </c>
      <c r="W27" s="22"/>
      <c r="X27" s="178">
        <f>SUM(X15:X26)</f>
        <v>103308206.02999999</v>
      </c>
      <c r="Y27" s="165"/>
      <c r="Z27" s="178">
        <f>SUM(Z15:Z26)</f>
        <v>2954762281.1100001</v>
      </c>
      <c r="AB27" s="165"/>
      <c r="AC27" s="165"/>
    </row>
    <row r="28" spans="1:29" ht="12" customHeight="1" thickTop="1" x14ac:dyDescent="0.4"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</row>
    <row r="29" spans="1:29" x14ac:dyDescent="0.4">
      <c r="A29" s="9" t="s">
        <v>375</v>
      </c>
      <c r="D29" s="22">
        <v>1164401069.76</v>
      </c>
      <c r="E29" s="22"/>
      <c r="F29" s="22">
        <v>0</v>
      </c>
      <c r="G29" s="22"/>
      <c r="H29" s="22">
        <v>688264273.16999996</v>
      </c>
      <c r="I29" s="22"/>
      <c r="J29" s="22">
        <v>0</v>
      </c>
      <c r="K29" s="22"/>
      <c r="L29" s="22">
        <v>101508576.81</v>
      </c>
      <c r="M29" s="22"/>
      <c r="N29" s="22">
        <v>640369161.44000006</v>
      </c>
      <c r="O29" s="22"/>
      <c r="P29" s="22">
        <v>17740596.210000001</v>
      </c>
      <c r="Q29" s="22"/>
      <c r="R29" s="22">
        <v>0</v>
      </c>
      <c r="S29" s="22"/>
      <c r="T29" s="22">
        <f>SUM(P29:S29)</f>
        <v>17740596.210000001</v>
      </c>
      <c r="U29" s="22"/>
      <c r="V29" s="22">
        <f>SUM(D29:O29)+T29</f>
        <v>2612283677.3899999</v>
      </c>
      <c r="W29" s="22"/>
      <c r="X29" s="22">
        <v>62855854.490000002</v>
      </c>
      <c r="Y29" s="165"/>
      <c r="Z29" s="22">
        <f>SUM(V29:X29)</f>
        <v>2675139531.8799996</v>
      </c>
      <c r="AB29" s="165"/>
    </row>
    <row r="30" spans="1:29" ht="9" customHeight="1" x14ac:dyDescent="0.4">
      <c r="B30" s="13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165"/>
      <c r="Z30" s="22"/>
    </row>
    <row r="31" spans="1:29" x14ac:dyDescent="0.4">
      <c r="A31" s="9" t="s">
        <v>265</v>
      </c>
      <c r="B31" s="13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165"/>
      <c r="Z31" s="22"/>
    </row>
    <row r="32" spans="1:29" hidden="1" x14ac:dyDescent="0.4">
      <c r="A32" s="9" t="s">
        <v>314</v>
      </c>
      <c r="B32" s="13"/>
      <c r="D32" s="22">
        <v>0</v>
      </c>
      <c r="E32" s="14"/>
      <c r="F32" s="22">
        <v>0</v>
      </c>
      <c r="G32" s="22"/>
      <c r="H32" s="22">
        <v>0</v>
      </c>
      <c r="I32" s="14"/>
      <c r="J32" s="22">
        <v>0</v>
      </c>
      <c r="K32" s="22"/>
      <c r="L32" s="22">
        <v>0</v>
      </c>
      <c r="M32" s="22"/>
      <c r="N32" s="22">
        <v>0</v>
      </c>
      <c r="O32" s="22"/>
      <c r="P32" s="22">
        <v>0</v>
      </c>
      <c r="Q32" s="22"/>
      <c r="R32" s="22">
        <v>0</v>
      </c>
      <c r="S32" s="22"/>
      <c r="T32" s="22">
        <f t="shared" ref="T32:T34" si="6">SUM(P32:S32)</f>
        <v>0</v>
      </c>
      <c r="U32" s="22"/>
      <c r="V32" s="22">
        <f t="shared" ref="V32:V34" si="7">SUM(D32:O32)+T32</f>
        <v>0</v>
      </c>
      <c r="W32" s="22"/>
      <c r="X32" s="22">
        <v>0</v>
      </c>
      <c r="Y32" s="165"/>
      <c r="Z32" s="22">
        <f t="shared" ref="Z32:Z34" si="8">SUM(V32:X32)</f>
        <v>0</v>
      </c>
    </row>
    <row r="33" spans="1:30" hidden="1" x14ac:dyDescent="0.4">
      <c r="A33" s="9" t="s">
        <v>349</v>
      </c>
      <c r="B33" s="13"/>
      <c r="D33" s="22">
        <v>0</v>
      </c>
      <c r="E33" s="14"/>
      <c r="F33" s="22">
        <v>0</v>
      </c>
      <c r="G33" s="22"/>
      <c r="H33" s="22">
        <v>0</v>
      </c>
      <c r="I33" s="14"/>
      <c r="J33" s="22">
        <v>0</v>
      </c>
      <c r="K33" s="22"/>
      <c r="L33" s="22">
        <v>0</v>
      </c>
      <c r="M33" s="22"/>
      <c r="N33" s="22">
        <v>0</v>
      </c>
      <c r="O33" s="22"/>
      <c r="P33" s="22">
        <v>0</v>
      </c>
      <c r="Q33" s="22"/>
      <c r="R33" s="22">
        <v>0</v>
      </c>
      <c r="S33" s="22"/>
      <c r="T33" s="22">
        <f t="shared" ref="T33" si="9">SUM(P33:S33)</f>
        <v>0</v>
      </c>
      <c r="U33" s="22"/>
      <c r="V33" s="22">
        <f t="shared" ref="V33" si="10">SUM(D33:O33)+T33</f>
        <v>0</v>
      </c>
      <c r="W33" s="22"/>
      <c r="X33" s="22">
        <v>0</v>
      </c>
      <c r="Y33" s="165"/>
      <c r="Z33" s="22">
        <f t="shared" ref="Z33" si="11">SUM(V33:X33)</f>
        <v>0</v>
      </c>
    </row>
    <row r="34" spans="1:30" hidden="1" x14ac:dyDescent="0.4">
      <c r="A34" s="9" t="s">
        <v>315</v>
      </c>
      <c r="B34" s="13"/>
      <c r="D34" s="22">
        <v>0</v>
      </c>
      <c r="E34" s="14"/>
      <c r="F34" s="22">
        <v>0</v>
      </c>
      <c r="G34" s="22"/>
      <c r="H34" s="22">
        <v>0</v>
      </c>
      <c r="I34" s="14"/>
      <c r="J34" s="22"/>
      <c r="K34" s="22"/>
      <c r="L34" s="22">
        <v>0</v>
      </c>
      <c r="M34" s="22"/>
      <c r="N34" s="22">
        <v>0</v>
      </c>
      <c r="O34" s="22"/>
      <c r="P34" s="22">
        <v>0</v>
      </c>
      <c r="Q34" s="22"/>
      <c r="R34" s="22">
        <v>0</v>
      </c>
      <c r="S34" s="22"/>
      <c r="T34" s="22">
        <f t="shared" si="6"/>
        <v>0</v>
      </c>
      <c r="U34" s="22"/>
      <c r="V34" s="22">
        <f t="shared" si="7"/>
        <v>0</v>
      </c>
      <c r="W34" s="22"/>
      <c r="X34" s="22">
        <v>0</v>
      </c>
      <c r="Y34" s="165"/>
      <c r="Z34" s="22">
        <f t="shared" si="8"/>
        <v>0</v>
      </c>
    </row>
    <row r="35" spans="1:30" x14ac:dyDescent="0.4">
      <c r="A35" s="9" t="s">
        <v>259</v>
      </c>
      <c r="B35" s="13">
        <v>24</v>
      </c>
      <c r="D35" s="22">
        <v>0</v>
      </c>
      <c r="E35" s="14"/>
      <c r="F35" s="22">
        <v>0</v>
      </c>
      <c r="G35" s="22"/>
      <c r="H35" s="22">
        <v>0</v>
      </c>
      <c r="I35" s="14"/>
      <c r="J35" s="22">
        <v>0</v>
      </c>
      <c r="K35" s="22"/>
      <c r="L35" s="22">
        <v>0</v>
      </c>
      <c r="M35" s="22"/>
      <c r="N35" s="22">
        <v>-69862240.180000007</v>
      </c>
      <c r="O35" s="22"/>
      <c r="P35" s="22">
        <v>0</v>
      </c>
      <c r="Q35" s="22"/>
      <c r="R35" s="22">
        <v>0</v>
      </c>
      <c r="S35" s="22"/>
      <c r="T35" s="22">
        <f>SUM(P35:S35)</f>
        <v>0</v>
      </c>
      <c r="U35" s="22"/>
      <c r="V35" s="22">
        <f>SUM(D35:O35)+T35</f>
        <v>-69862240.180000007</v>
      </c>
      <c r="W35" s="22"/>
      <c r="X35" s="22">
        <v>0</v>
      </c>
      <c r="Y35" s="165"/>
      <c r="Z35" s="22">
        <f>SUM(V35:X35)</f>
        <v>-69862240.180000007</v>
      </c>
    </row>
    <row r="36" spans="1:30" hidden="1" x14ac:dyDescent="0.4">
      <c r="A36" s="9" t="s">
        <v>256</v>
      </c>
      <c r="B36" s="13"/>
      <c r="D36" s="22">
        <v>0</v>
      </c>
      <c r="E36" s="14"/>
      <c r="F36" s="22">
        <v>0</v>
      </c>
      <c r="G36" s="22"/>
      <c r="H36" s="22">
        <v>0</v>
      </c>
      <c r="I36" s="14"/>
      <c r="J36" s="22">
        <v>0</v>
      </c>
      <c r="K36" s="22"/>
      <c r="L36" s="22">
        <v>0</v>
      </c>
      <c r="M36" s="22"/>
      <c r="N36" s="22">
        <f>-L36</f>
        <v>0</v>
      </c>
      <c r="O36" s="22"/>
      <c r="P36" s="22">
        <v>0</v>
      </c>
      <c r="Q36" s="22"/>
      <c r="R36" s="22">
        <v>0</v>
      </c>
      <c r="S36" s="22"/>
      <c r="T36" s="22">
        <f>SUM(P36:S36)</f>
        <v>0</v>
      </c>
      <c r="U36" s="22"/>
      <c r="V36" s="22">
        <f>SUM(D36:O36)+T36</f>
        <v>0</v>
      </c>
      <c r="W36" s="22"/>
      <c r="X36" s="22">
        <v>0</v>
      </c>
      <c r="Y36" s="165"/>
      <c r="Z36" s="22">
        <f>SUM(V36:X36)</f>
        <v>0</v>
      </c>
    </row>
    <row r="37" spans="1:30" x14ac:dyDescent="0.4">
      <c r="A37" s="9" t="s">
        <v>297</v>
      </c>
      <c r="D37" s="22">
        <v>0</v>
      </c>
      <c r="E37" s="22"/>
      <c r="F37" s="22">
        <v>0</v>
      </c>
      <c r="G37" s="22"/>
      <c r="H37" s="22">
        <v>0</v>
      </c>
      <c r="I37" s="22"/>
      <c r="J37" s="22">
        <v>0</v>
      </c>
      <c r="K37" s="22"/>
      <c r="L37" s="14">
        <v>0</v>
      </c>
      <c r="M37" s="14"/>
      <c r="N37" s="14">
        <f>+'PL_Q2-66'!F37</f>
        <v>72543989.199999988</v>
      </c>
      <c r="O37" s="22"/>
      <c r="P37" s="22">
        <f>+'PL_Q2-66'!F69</f>
        <v>1032496.18</v>
      </c>
      <c r="Q37" s="22"/>
      <c r="R37" s="14">
        <f>+'PL_Q2-66'!F73+'PL_Q2-66'!F74</f>
        <v>0</v>
      </c>
      <c r="S37" s="14"/>
      <c r="T37" s="14">
        <f>SUM(P37:S37)</f>
        <v>1032496.18</v>
      </c>
      <c r="U37" s="22"/>
      <c r="V37" s="22">
        <f>SUM(D37:O37)+T37</f>
        <v>73576485.379999995</v>
      </c>
      <c r="W37" s="22"/>
      <c r="X37" s="22">
        <f>+'PL_Q2-66'!F38</f>
        <v>-373708.58</v>
      </c>
      <c r="Y37" s="165"/>
      <c r="Z37" s="22">
        <f>SUM(V37:X37)</f>
        <v>73202776.799999997</v>
      </c>
    </row>
    <row r="38" spans="1:30" hidden="1" x14ac:dyDescent="0.4">
      <c r="A38" s="9" t="s">
        <v>286</v>
      </c>
      <c r="D38" s="22"/>
      <c r="E38" s="22"/>
      <c r="F38" s="22"/>
      <c r="G38" s="22"/>
      <c r="H38" s="22"/>
      <c r="I38" s="22"/>
      <c r="J38" s="22"/>
      <c r="K38" s="22"/>
      <c r="L38" s="14"/>
      <c r="M38" s="14"/>
      <c r="N38" s="14"/>
      <c r="O38" s="22"/>
      <c r="P38" s="22"/>
      <c r="Q38" s="22"/>
      <c r="R38" s="14"/>
      <c r="S38" s="14"/>
      <c r="T38" s="14"/>
      <c r="U38" s="22"/>
      <c r="V38" s="22"/>
      <c r="W38" s="22"/>
      <c r="X38" s="22"/>
      <c r="Y38" s="165"/>
      <c r="Z38" s="22"/>
    </row>
    <row r="39" spans="1:30" hidden="1" x14ac:dyDescent="0.4">
      <c r="A39" s="9" t="s">
        <v>287</v>
      </c>
      <c r="D39" s="22">
        <v>0</v>
      </c>
      <c r="E39" s="22"/>
      <c r="F39" s="22">
        <v>0</v>
      </c>
      <c r="G39" s="22"/>
      <c r="H39" s="22">
        <v>0</v>
      </c>
      <c r="I39" s="22"/>
      <c r="J39" s="22">
        <v>0</v>
      </c>
      <c r="K39" s="22"/>
      <c r="L39" s="14">
        <v>0</v>
      </c>
      <c r="M39" s="14"/>
      <c r="N39" s="14">
        <f>-R39</f>
        <v>0</v>
      </c>
      <c r="O39" s="22"/>
      <c r="P39" s="22">
        <f>+'PL_Q2-66'!F70</f>
        <v>0</v>
      </c>
      <c r="Q39" s="22"/>
      <c r="R39" s="14">
        <f>-R37</f>
        <v>0</v>
      </c>
      <c r="S39" s="14"/>
      <c r="T39" s="14">
        <f>SUM(P39:S39)</f>
        <v>0</v>
      </c>
      <c r="U39" s="22"/>
      <c r="V39" s="22">
        <f>SUM(D39:O39)+T39</f>
        <v>0</v>
      </c>
      <c r="W39" s="22"/>
      <c r="X39" s="22">
        <v>0</v>
      </c>
      <c r="Y39" s="165"/>
      <c r="Z39" s="22">
        <f>SUM(V39:X39)</f>
        <v>0</v>
      </c>
    </row>
    <row r="40" spans="1:30" ht="9.75" customHeight="1" x14ac:dyDescent="0.4">
      <c r="B40" s="13"/>
      <c r="D40" s="167"/>
      <c r="E40" s="165"/>
      <c r="F40" s="167"/>
      <c r="G40" s="22"/>
      <c r="H40" s="167"/>
      <c r="I40" s="165"/>
      <c r="J40" s="167"/>
      <c r="K40" s="22"/>
      <c r="L40" s="167"/>
      <c r="M40" s="177"/>
      <c r="N40" s="167"/>
      <c r="O40" s="22"/>
      <c r="P40" s="167"/>
      <c r="Q40" s="22"/>
      <c r="R40" s="167"/>
      <c r="S40" s="22"/>
      <c r="T40" s="167"/>
      <c r="U40" s="165"/>
      <c r="V40" s="167"/>
      <c r="W40" s="22"/>
      <c r="X40" s="167"/>
      <c r="Y40" s="165"/>
      <c r="Z40" s="167"/>
    </row>
    <row r="41" spans="1:30" ht="11.25" hidden="1" customHeight="1" x14ac:dyDescent="0.4"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22"/>
      <c r="W41" s="22"/>
      <c r="X41" s="22"/>
      <c r="Y41" s="165"/>
      <c r="Z41" s="165"/>
    </row>
    <row r="42" spans="1:30" ht="18.75" thickBot="1" x14ac:dyDescent="0.45">
      <c r="A42" s="9" t="s">
        <v>376</v>
      </c>
      <c r="D42" s="178">
        <f>SUM(D29:D41)</f>
        <v>1164401069.76</v>
      </c>
      <c r="E42" s="14"/>
      <c r="F42" s="178">
        <f>SUM(F29:F41)</f>
        <v>0</v>
      </c>
      <c r="G42" s="22"/>
      <c r="H42" s="178">
        <f>SUM(H29:H41)</f>
        <v>688264273.16999996</v>
      </c>
      <c r="I42" s="14"/>
      <c r="J42" s="178">
        <f>SUM(J29:J41)</f>
        <v>0</v>
      </c>
      <c r="K42" s="22"/>
      <c r="L42" s="178">
        <f>SUM(L29:L41)</f>
        <v>101508576.81</v>
      </c>
      <c r="M42" s="14"/>
      <c r="N42" s="178">
        <f>SUM(N29:N41)</f>
        <v>643050910.46000004</v>
      </c>
      <c r="O42" s="22"/>
      <c r="P42" s="178">
        <f>SUM(P29:P41)</f>
        <v>18773092.390000001</v>
      </c>
      <c r="Q42" s="22"/>
      <c r="R42" s="178">
        <f>SUM(R29:R41)</f>
        <v>0</v>
      </c>
      <c r="S42" s="22"/>
      <c r="T42" s="178">
        <f>SUM(T29:T41)</f>
        <v>18773092.390000001</v>
      </c>
      <c r="U42" s="14"/>
      <c r="V42" s="178">
        <f>SUM(V29:V41)</f>
        <v>2615997922.5900002</v>
      </c>
      <c r="W42" s="22"/>
      <c r="X42" s="178">
        <f>SUM(X29:X41)</f>
        <v>62482145.910000004</v>
      </c>
      <c r="Y42" s="165"/>
      <c r="Z42" s="178">
        <f>SUM(Z29:Z41)</f>
        <v>2678480068.5</v>
      </c>
      <c r="AB42" s="18">
        <f>Z42-'BS_Q2-66'!F119</f>
        <v>0</v>
      </c>
      <c r="AC42" s="165">
        <f>N42-'BS_Q2-66'!F115</f>
        <v>0</v>
      </c>
      <c r="AD42" s="165">
        <f>L42-'BS_Q2-66'!F114</f>
        <v>0</v>
      </c>
    </row>
    <row r="43" spans="1:30" ht="18.75" thickTop="1" x14ac:dyDescent="0.4"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B43" s="165">
        <f>N42-'BS_Q2-66'!F115</f>
        <v>0</v>
      </c>
    </row>
    <row r="44" spans="1:30" x14ac:dyDescent="0.4">
      <c r="A44" s="15" t="s">
        <v>298</v>
      </c>
    </row>
    <row r="45" spans="1:30" x14ac:dyDescent="0.4">
      <c r="A45" s="136"/>
    </row>
    <row r="47" spans="1:30" s="3" customFormat="1" x14ac:dyDescent="0.4">
      <c r="A47" s="25" t="s">
        <v>144</v>
      </c>
      <c r="C47" s="13"/>
      <c r="D47" s="25"/>
      <c r="E47" s="13"/>
      <c r="F47" s="13"/>
      <c r="G47" s="13"/>
      <c r="H47" s="13"/>
      <c r="I47" s="13"/>
      <c r="J47" s="25" t="s">
        <v>144</v>
      </c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13"/>
      <c r="V47" s="13"/>
      <c r="W47" s="13"/>
      <c r="X47" s="13"/>
      <c r="Y47" s="13"/>
      <c r="AB47" s="7"/>
    </row>
    <row r="48" spans="1:30" s="3" customFormat="1" x14ac:dyDescent="0.4">
      <c r="A48" s="205"/>
      <c r="B48" s="205"/>
      <c r="D48" s="25"/>
      <c r="E48" s="25"/>
      <c r="F48" s="25"/>
      <c r="G48" s="25"/>
      <c r="H48" s="25"/>
      <c r="I48" s="25"/>
      <c r="J48" s="25"/>
      <c r="K48" s="25"/>
      <c r="L48" s="13"/>
      <c r="M48" s="25"/>
      <c r="N48" s="13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AB48" s="7"/>
    </row>
    <row r="49" spans="1:1" x14ac:dyDescent="0.4">
      <c r="A49" s="26"/>
    </row>
  </sheetData>
  <mergeCells count="10">
    <mergeCell ref="X1:Z1"/>
    <mergeCell ref="A48:B48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53" right="0" top="0.23622047244094499" bottom="0.15748031496063" header="0.43307086614173201" footer="0.511811023622047"/>
  <pageSetup paperSize="9" scale="80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45"/>
  <sheetViews>
    <sheetView view="pageBreakPreview" zoomScaleNormal="100" zoomScaleSheetLayoutView="100" workbookViewId="0">
      <selection activeCell="A8" sqref="A8"/>
    </sheetView>
  </sheetViews>
  <sheetFormatPr defaultColWidth="9.140625" defaultRowHeight="21" x14ac:dyDescent="0.45"/>
  <cols>
    <col min="1" max="1" width="41.28515625" style="88" customWidth="1"/>
    <col min="2" max="2" width="4.85546875" style="88" customWidth="1"/>
    <col min="3" max="3" width="1.42578125" style="88" customWidth="1"/>
    <col min="4" max="4" width="16.28515625" style="88" customWidth="1"/>
    <col min="5" max="5" width="1.42578125" style="88" customWidth="1"/>
    <col min="6" max="6" width="14.42578125" style="88" hidden="1" customWidth="1"/>
    <col min="7" max="7" width="1.5703125" style="88" hidden="1" customWidth="1"/>
    <col min="8" max="8" width="15" style="88" customWidth="1"/>
    <col min="9" max="9" width="1.28515625" style="88" customWidth="1"/>
    <col min="10" max="10" width="15" style="88" customWidth="1"/>
    <col min="11" max="11" width="1.42578125" style="88" hidden="1" customWidth="1"/>
    <col min="12" max="12" width="12.140625" style="88" hidden="1" customWidth="1"/>
    <col min="13" max="13" width="1.42578125" style="88" hidden="1" customWidth="1"/>
    <col min="14" max="14" width="11.85546875" style="88" hidden="1" customWidth="1"/>
    <col min="15" max="15" width="1.42578125" style="88" hidden="1" customWidth="1"/>
    <col min="16" max="16" width="11.85546875" style="88" hidden="1" customWidth="1"/>
    <col min="17" max="17" width="1" style="88" customWidth="1"/>
    <col min="18" max="18" width="15.28515625" style="88" customWidth="1"/>
    <col min="19" max="19" width="1.42578125" style="88" customWidth="1"/>
    <col min="20" max="20" width="16.140625" style="88" customWidth="1"/>
    <col min="21" max="21" width="1.140625" style="88" customWidth="1"/>
    <col min="22" max="22" width="20.7109375" style="88" customWidth="1"/>
    <col min="23" max="23" width="1.42578125" style="88" customWidth="1"/>
    <col min="24" max="24" width="17" style="88" customWidth="1"/>
    <col min="25" max="25" width="13.5703125" style="88" bestFit="1" customWidth="1"/>
    <col min="26" max="26" width="10.5703125" style="88" bestFit="1" customWidth="1"/>
    <col min="27" max="16384" width="9.140625" style="88"/>
  </cols>
  <sheetData>
    <row r="1" spans="1:26" ht="21.75" customHeight="1" x14ac:dyDescent="0.45">
      <c r="A1" s="137"/>
      <c r="V1" s="217"/>
      <c r="W1" s="217"/>
      <c r="X1" s="217"/>
    </row>
    <row r="2" spans="1:26" ht="16.5" customHeight="1" x14ac:dyDescent="0.45">
      <c r="T2" s="221" t="s">
        <v>309</v>
      </c>
      <c r="U2" s="221"/>
      <c r="V2" s="221"/>
      <c r="W2" s="221"/>
      <c r="X2" s="221"/>
    </row>
    <row r="3" spans="1:26" x14ac:dyDescent="0.45">
      <c r="A3" s="219" t="str">
        <f>'Changed-Conso'!A3</f>
        <v>THE BROOKER GROUP PUBLIC COMPANY LIMITED AND ITS SUBSIDIARIES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141"/>
    </row>
    <row r="4" spans="1:26" x14ac:dyDescent="0.45">
      <c r="A4" s="220" t="str">
        <f>'Changed-Conso'!A4</f>
        <v>STATEMENTS OF CHANGES IN SHAREHOLDERS' EQUITY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</row>
    <row r="5" spans="1:26" x14ac:dyDescent="0.45">
      <c r="A5" s="220" t="s">
        <v>201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</row>
    <row r="6" spans="1:26" x14ac:dyDescent="0.45">
      <c r="A6" s="220" t="s">
        <v>372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</row>
    <row r="7" spans="1:26" x14ac:dyDescent="0.45">
      <c r="D7" s="218" t="s">
        <v>208</v>
      </c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26" x14ac:dyDescent="0.45">
      <c r="B8" s="86"/>
      <c r="C8" s="86"/>
      <c r="D8" s="138"/>
      <c r="E8" s="138"/>
      <c r="F8" s="191"/>
      <c r="G8" s="191"/>
      <c r="H8" s="191"/>
      <c r="I8" s="138"/>
      <c r="J8" s="86" t="s">
        <v>274</v>
      </c>
      <c r="K8" s="138"/>
      <c r="L8" s="142" t="s">
        <v>188</v>
      </c>
      <c r="M8" s="143"/>
      <c r="N8" s="143"/>
      <c r="O8" s="143"/>
      <c r="P8" s="143"/>
      <c r="Q8" s="143"/>
      <c r="R8" s="216" t="s">
        <v>212</v>
      </c>
      <c r="S8" s="216"/>
      <c r="T8" s="216"/>
      <c r="U8" s="85"/>
      <c r="V8" s="85" t="s">
        <v>262</v>
      </c>
      <c r="W8" s="85"/>
    </row>
    <row r="9" spans="1:26" x14ac:dyDescent="0.45">
      <c r="D9" s="86" t="s">
        <v>196</v>
      </c>
      <c r="E9" s="143"/>
      <c r="F9" s="191"/>
      <c r="G9" s="191"/>
      <c r="H9" s="86" t="s">
        <v>272</v>
      </c>
      <c r="I9" s="143"/>
      <c r="J9" s="86" t="s">
        <v>275</v>
      </c>
      <c r="K9" s="143"/>
      <c r="L9" s="142" t="s">
        <v>187</v>
      </c>
      <c r="M9" s="142"/>
      <c r="N9" s="142" t="s">
        <v>190</v>
      </c>
      <c r="O9" s="142"/>
      <c r="P9" s="142" t="s">
        <v>168</v>
      </c>
      <c r="Q9" s="143"/>
      <c r="V9" s="202" t="s">
        <v>225</v>
      </c>
      <c r="W9" s="85"/>
    </row>
    <row r="10" spans="1:26" x14ac:dyDescent="0.45">
      <c r="D10" s="86" t="s">
        <v>165</v>
      </c>
      <c r="E10" s="144"/>
      <c r="F10" s="191"/>
      <c r="G10" s="191"/>
      <c r="H10" s="86" t="s">
        <v>273</v>
      </c>
      <c r="I10" s="144"/>
      <c r="J10" s="191" t="s">
        <v>276</v>
      </c>
      <c r="K10" s="142"/>
      <c r="L10" s="142" t="s">
        <v>175</v>
      </c>
      <c r="M10" s="142"/>
      <c r="N10" s="97" t="s">
        <v>191</v>
      </c>
      <c r="O10" s="142"/>
      <c r="P10" s="142" t="s">
        <v>169</v>
      </c>
      <c r="Q10" s="143"/>
      <c r="R10" s="86" t="s">
        <v>172</v>
      </c>
      <c r="S10" s="145"/>
      <c r="T10" s="83"/>
      <c r="U10" s="83"/>
      <c r="V10" s="147" t="s">
        <v>263</v>
      </c>
      <c r="W10" s="83"/>
    </row>
    <row r="11" spans="1:26" x14ac:dyDescent="0.45">
      <c r="B11" s="157" t="s">
        <v>214</v>
      </c>
      <c r="D11" s="96" t="s">
        <v>166</v>
      </c>
      <c r="E11" s="146"/>
      <c r="F11" s="190" t="s">
        <v>237</v>
      </c>
      <c r="G11" s="97"/>
      <c r="H11" s="96" t="s">
        <v>167</v>
      </c>
      <c r="I11" s="146"/>
      <c r="J11" s="96" t="s">
        <v>277</v>
      </c>
      <c r="K11" s="147"/>
      <c r="L11" s="202" t="s">
        <v>176</v>
      </c>
      <c r="M11" s="147"/>
      <c r="N11" s="202" t="s">
        <v>192</v>
      </c>
      <c r="O11" s="147"/>
      <c r="P11" s="202" t="s">
        <v>170</v>
      </c>
      <c r="Q11" s="143"/>
      <c r="R11" s="96" t="s">
        <v>173</v>
      </c>
      <c r="S11" s="145"/>
      <c r="T11" s="96" t="s">
        <v>154</v>
      </c>
      <c r="U11" s="86"/>
      <c r="V11" s="202" t="s">
        <v>264</v>
      </c>
      <c r="W11" s="85"/>
      <c r="X11" s="96" t="s">
        <v>174</v>
      </c>
    </row>
    <row r="12" spans="1:26" x14ac:dyDescent="0.45">
      <c r="C12" s="147"/>
      <c r="F12" s="160"/>
      <c r="G12" s="194"/>
      <c r="R12" s="85"/>
      <c r="S12" s="147"/>
      <c r="T12" s="148"/>
      <c r="U12" s="148"/>
      <c r="V12" s="148"/>
      <c r="W12" s="146"/>
      <c r="X12" s="148"/>
    </row>
    <row r="13" spans="1:26" x14ac:dyDescent="0.45">
      <c r="A13" s="84" t="s">
        <v>345</v>
      </c>
      <c r="D13" s="138">
        <v>1031660147.25</v>
      </c>
      <c r="E13" s="138"/>
      <c r="F13" s="138">
        <v>0</v>
      </c>
      <c r="G13" s="138"/>
      <c r="H13" s="138">
        <v>669983717.94000006</v>
      </c>
      <c r="I13" s="138"/>
      <c r="J13" s="138">
        <v>29008465.079999998</v>
      </c>
      <c r="K13" s="138"/>
      <c r="L13" s="143">
        <v>0</v>
      </c>
      <c r="M13" s="138"/>
      <c r="N13" s="138">
        <v>0</v>
      </c>
      <c r="O13" s="138"/>
      <c r="P13" s="138">
        <v>0</v>
      </c>
      <c r="Q13" s="138"/>
      <c r="R13" s="138">
        <v>97705272.879999995</v>
      </c>
      <c r="S13" s="138"/>
      <c r="T13" s="138">
        <v>1136122775.5899999</v>
      </c>
      <c r="U13" s="138"/>
      <c r="V13" s="138">
        <v>0</v>
      </c>
      <c r="W13" s="138"/>
      <c r="X13" s="138">
        <f>SUM(D13:V13)</f>
        <v>2964480378.7399998</v>
      </c>
      <c r="Y13" s="175"/>
      <c r="Z13" s="143"/>
    </row>
    <row r="14" spans="1:26" ht="9" customHeight="1" x14ac:dyDescent="0.45"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138"/>
      <c r="T14" s="138"/>
      <c r="U14" s="138"/>
      <c r="V14" s="22"/>
      <c r="W14" s="138"/>
      <c r="X14" s="138"/>
      <c r="Z14" s="143"/>
    </row>
    <row r="15" spans="1:26" x14ac:dyDescent="0.45">
      <c r="A15" s="88" t="s">
        <v>266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138"/>
      <c r="T15" s="138"/>
      <c r="U15" s="138"/>
      <c r="V15" s="22"/>
      <c r="W15" s="138"/>
      <c r="X15" s="138"/>
      <c r="Z15" s="143"/>
    </row>
    <row r="16" spans="1:26" x14ac:dyDescent="0.45">
      <c r="A16" s="88" t="s">
        <v>312</v>
      </c>
      <c r="B16" s="13"/>
      <c r="D16" s="143">
        <v>27905071.670000002</v>
      </c>
      <c r="E16" s="143"/>
      <c r="F16" s="143">
        <v>0</v>
      </c>
      <c r="G16" s="143"/>
      <c r="H16" s="143">
        <v>18280555.23</v>
      </c>
      <c r="I16" s="143"/>
      <c r="J16" s="143">
        <v>-29008465.079999998</v>
      </c>
      <c r="K16" s="143"/>
      <c r="L16" s="143">
        <v>0</v>
      </c>
      <c r="M16" s="143"/>
      <c r="N16" s="138">
        <v>0</v>
      </c>
      <c r="O16" s="143"/>
      <c r="P16" s="143">
        <v>0</v>
      </c>
      <c r="Q16" s="143"/>
      <c r="R16" s="143">
        <v>0</v>
      </c>
      <c r="S16" s="143"/>
      <c r="T16" s="143">
        <v>0</v>
      </c>
      <c r="U16" s="143"/>
      <c r="V16" s="143">
        <v>0</v>
      </c>
      <c r="W16" s="143"/>
      <c r="X16" s="138">
        <f t="shared" ref="X16:X17" si="0">SUM(D16:V16)</f>
        <v>17177161.820000008</v>
      </c>
      <c r="Z16" s="143"/>
    </row>
    <row r="17" spans="1:26" x14ac:dyDescent="0.45">
      <c r="A17" s="88" t="s">
        <v>347</v>
      </c>
      <c r="B17" s="13">
        <v>24</v>
      </c>
      <c r="D17" s="143">
        <v>104835850.84</v>
      </c>
      <c r="E17" s="143"/>
      <c r="F17" s="143">
        <v>0</v>
      </c>
      <c r="G17" s="143"/>
      <c r="H17" s="143">
        <v>0</v>
      </c>
      <c r="I17" s="143"/>
      <c r="J17" s="143">
        <v>0</v>
      </c>
      <c r="K17" s="143"/>
      <c r="L17" s="143">
        <v>0</v>
      </c>
      <c r="M17" s="143"/>
      <c r="N17" s="138">
        <v>0</v>
      </c>
      <c r="O17" s="143"/>
      <c r="P17" s="143">
        <v>0</v>
      </c>
      <c r="Q17" s="143"/>
      <c r="R17" s="143">
        <v>0</v>
      </c>
      <c r="S17" s="143"/>
      <c r="T17" s="143">
        <f>-D17</f>
        <v>-104835850.84</v>
      </c>
      <c r="U17" s="143"/>
      <c r="V17" s="143">
        <v>0</v>
      </c>
      <c r="W17" s="143"/>
      <c r="X17" s="138">
        <f t="shared" si="0"/>
        <v>0</v>
      </c>
      <c r="Z17" s="143"/>
    </row>
    <row r="18" spans="1:26" x14ac:dyDescent="0.45">
      <c r="A18" s="161" t="s">
        <v>294</v>
      </c>
      <c r="B18" s="13">
        <v>24</v>
      </c>
      <c r="C18" s="143"/>
      <c r="D18" s="143">
        <v>0</v>
      </c>
      <c r="E18" s="143"/>
      <c r="F18" s="143">
        <v>0</v>
      </c>
      <c r="G18" s="143"/>
      <c r="H18" s="143">
        <v>0</v>
      </c>
      <c r="I18" s="143"/>
      <c r="J18" s="143">
        <v>0</v>
      </c>
      <c r="K18" s="143"/>
      <c r="L18" s="143">
        <v>0</v>
      </c>
      <c r="M18" s="143"/>
      <c r="N18" s="138">
        <v>0</v>
      </c>
      <c r="O18" s="143"/>
      <c r="P18" s="143">
        <v>0</v>
      </c>
      <c r="Q18" s="143"/>
      <c r="R18" s="143">
        <v>0</v>
      </c>
      <c r="S18" s="143"/>
      <c r="T18" s="143">
        <v>-41934415.479999997</v>
      </c>
      <c r="U18" s="143"/>
      <c r="V18" s="143">
        <v>0</v>
      </c>
      <c r="W18" s="143"/>
      <c r="X18" s="138">
        <f>SUM(D18:V18)</f>
        <v>-41934415.479999997</v>
      </c>
    </row>
    <row r="19" spans="1:26" x14ac:dyDescent="0.45">
      <c r="A19" s="100" t="s">
        <v>256</v>
      </c>
      <c r="B19" s="196"/>
      <c r="C19" s="143"/>
      <c r="D19" s="143">
        <v>0</v>
      </c>
      <c r="E19" s="143"/>
      <c r="F19" s="143">
        <v>0</v>
      </c>
      <c r="G19" s="143"/>
      <c r="H19" s="143">
        <v>0</v>
      </c>
      <c r="I19" s="143"/>
      <c r="J19" s="143">
        <v>0</v>
      </c>
      <c r="K19" s="143"/>
      <c r="L19" s="143"/>
      <c r="M19" s="143"/>
      <c r="N19" s="138"/>
      <c r="O19" s="143"/>
      <c r="P19" s="143"/>
      <c r="Q19" s="143"/>
      <c r="R19" s="143">
        <v>3803303.93</v>
      </c>
      <c r="S19" s="143"/>
      <c r="T19" s="143">
        <f>-R19</f>
        <v>-3803303.93</v>
      </c>
      <c r="U19" s="143"/>
      <c r="V19" s="143">
        <v>0</v>
      </c>
      <c r="W19" s="143"/>
      <c r="X19" s="138">
        <f>SUM(D19:V19)</f>
        <v>0</v>
      </c>
      <c r="Y19" s="143"/>
      <c r="Z19" s="138"/>
    </row>
    <row r="20" spans="1:26" x14ac:dyDescent="0.45">
      <c r="A20" s="162" t="s">
        <v>297</v>
      </c>
      <c r="B20" s="197"/>
      <c r="C20" s="143"/>
      <c r="D20" s="138">
        <v>0</v>
      </c>
      <c r="E20" s="138"/>
      <c r="F20" s="138">
        <v>0</v>
      </c>
      <c r="G20" s="138"/>
      <c r="H20" s="138">
        <v>0</v>
      </c>
      <c r="I20" s="138"/>
      <c r="J20" s="138">
        <v>0</v>
      </c>
      <c r="K20" s="138"/>
      <c r="L20" s="138">
        <v>0</v>
      </c>
      <c r="M20" s="138"/>
      <c r="N20" s="138">
        <v>0</v>
      </c>
      <c r="O20" s="138"/>
      <c r="P20" s="138">
        <v>0</v>
      </c>
      <c r="Q20" s="138"/>
      <c r="R20" s="138">
        <v>0</v>
      </c>
      <c r="S20" s="138"/>
      <c r="T20" s="138">
        <f>+'PL_Q2-66'!L37</f>
        <v>76066078.549999997</v>
      </c>
      <c r="U20" s="138"/>
      <c r="V20" s="138">
        <v>0</v>
      </c>
      <c r="W20" s="138"/>
      <c r="X20" s="138">
        <f>SUM(D20:V20)</f>
        <v>76066078.549999997</v>
      </c>
      <c r="Y20" s="175">
        <f>T20-'PL_Q2-66'!L39</f>
        <v>0</v>
      </c>
    </row>
    <row r="21" spans="1:26" hidden="1" x14ac:dyDescent="0.45">
      <c r="A21" s="88" t="s">
        <v>286</v>
      </c>
      <c r="B21" s="143"/>
      <c r="C21" s="143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75"/>
    </row>
    <row r="22" spans="1:26" hidden="1" x14ac:dyDescent="0.45">
      <c r="A22" s="88" t="s">
        <v>287</v>
      </c>
      <c r="B22" s="143"/>
      <c r="C22" s="143"/>
      <c r="D22" s="138">
        <v>0</v>
      </c>
      <c r="E22" s="138"/>
      <c r="F22" s="138">
        <v>0</v>
      </c>
      <c r="G22" s="138"/>
      <c r="H22" s="138">
        <v>0</v>
      </c>
      <c r="I22" s="138"/>
      <c r="J22" s="138">
        <v>0</v>
      </c>
      <c r="K22" s="138"/>
      <c r="L22" s="138">
        <v>0</v>
      </c>
      <c r="M22" s="138"/>
      <c r="N22" s="138">
        <v>0</v>
      </c>
      <c r="O22" s="138"/>
      <c r="P22" s="138">
        <v>0</v>
      </c>
      <c r="Q22" s="138"/>
      <c r="R22" s="138">
        <v>0</v>
      </c>
      <c r="S22" s="138"/>
      <c r="T22" s="138">
        <f>-V22</f>
        <v>0</v>
      </c>
      <c r="U22" s="138"/>
      <c r="V22" s="138">
        <f>-V20</f>
        <v>0</v>
      </c>
      <c r="W22" s="138"/>
      <c r="X22" s="138">
        <f>SUM(D22:V22)</f>
        <v>0</v>
      </c>
      <c r="Y22" s="175"/>
    </row>
    <row r="23" spans="1:26" ht="8.25" customHeight="1" x14ac:dyDescent="0.45">
      <c r="B23" s="198"/>
      <c r="D23" s="173"/>
      <c r="E23" s="143"/>
      <c r="F23" s="173"/>
      <c r="G23" s="138"/>
      <c r="H23" s="173"/>
      <c r="I23" s="143"/>
      <c r="J23" s="173"/>
      <c r="K23" s="138"/>
      <c r="L23" s="173"/>
      <c r="M23" s="138"/>
      <c r="N23" s="173"/>
      <c r="O23" s="138"/>
      <c r="P23" s="173"/>
      <c r="Q23" s="143"/>
      <c r="R23" s="173"/>
      <c r="S23" s="143"/>
      <c r="T23" s="173"/>
      <c r="U23" s="138"/>
      <c r="V23" s="173"/>
      <c r="W23" s="138"/>
      <c r="X23" s="173"/>
    </row>
    <row r="24" spans="1:26" ht="21.75" thickBot="1" x14ac:dyDescent="0.5">
      <c r="A24" s="84" t="s">
        <v>346</v>
      </c>
      <c r="B24" s="198"/>
      <c r="D24" s="174">
        <f>SUM(D13:D23)</f>
        <v>1164401069.76</v>
      </c>
      <c r="E24" s="143"/>
      <c r="F24" s="174">
        <f>SUM(F13:F23)</f>
        <v>0</v>
      </c>
      <c r="G24" s="138"/>
      <c r="H24" s="174">
        <f>SUM(H13:H23)</f>
        <v>688264273.17000008</v>
      </c>
      <c r="I24" s="143"/>
      <c r="J24" s="174">
        <f>SUM(J13:J23)</f>
        <v>0</v>
      </c>
      <c r="K24" s="138"/>
      <c r="L24" s="174">
        <f>SUM(L18:L20)</f>
        <v>0</v>
      </c>
      <c r="M24" s="138"/>
      <c r="N24" s="174">
        <f>SUM(N18:N20)</f>
        <v>0</v>
      </c>
      <c r="O24" s="138"/>
      <c r="P24" s="174">
        <f>SUM(P18:P20)</f>
        <v>0</v>
      </c>
      <c r="Q24" s="143"/>
      <c r="R24" s="174">
        <f>SUM(R13:R23)</f>
        <v>101508576.81</v>
      </c>
      <c r="S24" s="143"/>
      <c r="T24" s="174">
        <f>SUM(T13:T23)</f>
        <v>1061615283.8899999</v>
      </c>
      <c r="U24" s="138"/>
      <c r="V24" s="174">
        <f>SUM(V13:V23)</f>
        <v>0</v>
      </c>
      <c r="W24" s="138"/>
      <c r="X24" s="174">
        <f>SUM(X13:X23)</f>
        <v>3015789203.6300001</v>
      </c>
      <c r="Y24" s="175"/>
    </row>
    <row r="25" spans="1:26" ht="21.75" thickTop="1" x14ac:dyDescent="0.45">
      <c r="B25" s="198"/>
      <c r="D25" s="175"/>
      <c r="E25" s="175"/>
      <c r="F25" s="143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43"/>
      <c r="W25" s="175"/>
      <c r="X25" s="175"/>
    </row>
    <row r="26" spans="1:26" x14ac:dyDescent="0.45">
      <c r="A26" s="84" t="s">
        <v>375</v>
      </c>
      <c r="B26" s="198"/>
      <c r="D26" s="138">
        <v>1164401069.76</v>
      </c>
      <c r="E26" s="138"/>
      <c r="F26" s="138">
        <v>0</v>
      </c>
      <c r="G26" s="138"/>
      <c r="H26" s="138">
        <v>688264273.16999996</v>
      </c>
      <c r="I26" s="138"/>
      <c r="J26" s="138">
        <v>0</v>
      </c>
      <c r="K26" s="138"/>
      <c r="L26" s="143">
        <v>0</v>
      </c>
      <c r="M26" s="138"/>
      <c r="N26" s="138">
        <v>0</v>
      </c>
      <c r="O26" s="138"/>
      <c r="P26" s="138">
        <v>0</v>
      </c>
      <c r="Q26" s="138"/>
      <c r="R26" s="138">
        <v>101508576.81</v>
      </c>
      <c r="S26" s="138"/>
      <c r="T26" s="138">
        <v>972483609.41999996</v>
      </c>
      <c r="U26" s="138"/>
      <c r="V26" s="138">
        <v>0</v>
      </c>
      <c r="W26" s="138"/>
      <c r="X26" s="138">
        <f>SUM(D26:V26)</f>
        <v>2926657529.1599998</v>
      </c>
      <c r="Z26" s="143"/>
    </row>
    <row r="27" spans="1:26" ht="9.75" customHeight="1" x14ac:dyDescent="0.45">
      <c r="B27" s="198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138"/>
      <c r="T27" s="138"/>
      <c r="U27" s="138"/>
      <c r="V27" s="22"/>
      <c r="W27" s="138"/>
      <c r="X27" s="138"/>
    </row>
    <row r="28" spans="1:26" x14ac:dyDescent="0.45">
      <c r="A28" s="88" t="s">
        <v>266</v>
      </c>
      <c r="B28" s="198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138"/>
      <c r="T28" s="138"/>
      <c r="U28" s="138"/>
      <c r="V28" s="22"/>
      <c r="W28" s="138"/>
      <c r="X28" s="138"/>
    </row>
    <row r="29" spans="1:26" hidden="1" x14ac:dyDescent="0.45">
      <c r="A29" s="88" t="s">
        <v>312</v>
      </c>
      <c r="B29" s="13"/>
      <c r="D29" s="143">
        <v>0</v>
      </c>
      <c r="E29" s="143"/>
      <c r="F29" s="143">
        <v>0</v>
      </c>
      <c r="G29" s="143"/>
      <c r="H29" s="143">
        <v>0</v>
      </c>
      <c r="I29" s="143"/>
      <c r="J29" s="143">
        <v>0</v>
      </c>
      <c r="K29" s="143"/>
      <c r="L29" s="143">
        <v>0</v>
      </c>
      <c r="M29" s="143"/>
      <c r="N29" s="138">
        <v>0</v>
      </c>
      <c r="O29" s="143"/>
      <c r="P29" s="143">
        <v>0</v>
      </c>
      <c r="Q29" s="143"/>
      <c r="R29" s="143">
        <v>0</v>
      </c>
      <c r="S29" s="143"/>
      <c r="T29" s="143">
        <v>0</v>
      </c>
      <c r="U29" s="143"/>
      <c r="V29" s="143">
        <v>0</v>
      </c>
      <c r="W29" s="143"/>
      <c r="X29" s="138">
        <f t="shared" ref="X29:X31" si="1">SUM(D29:V29)</f>
        <v>0</v>
      </c>
    </row>
    <row r="30" spans="1:26" hidden="1" x14ac:dyDescent="0.45">
      <c r="A30" s="88" t="s">
        <v>347</v>
      </c>
      <c r="B30" s="13"/>
      <c r="D30" s="143">
        <v>0</v>
      </c>
      <c r="E30" s="143"/>
      <c r="F30" s="143">
        <v>0</v>
      </c>
      <c r="G30" s="143"/>
      <c r="H30" s="143">
        <v>0</v>
      </c>
      <c r="I30" s="143"/>
      <c r="J30" s="143">
        <v>0</v>
      </c>
      <c r="K30" s="143"/>
      <c r="L30" s="143">
        <v>0</v>
      </c>
      <c r="M30" s="143"/>
      <c r="N30" s="138">
        <v>0</v>
      </c>
      <c r="O30" s="143"/>
      <c r="P30" s="143">
        <v>0</v>
      </c>
      <c r="Q30" s="143"/>
      <c r="R30" s="143">
        <v>0</v>
      </c>
      <c r="S30" s="143"/>
      <c r="T30" s="143">
        <f>-D30</f>
        <v>0</v>
      </c>
      <c r="U30" s="143"/>
      <c r="V30" s="143">
        <v>0</v>
      </c>
      <c r="W30" s="143"/>
      <c r="X30" s="138">
        <f t="shared" ref="X30" si="2">SUM(D30:V30)</f>
        <v>0</v>
      </c>
    </row>
    <row r="31" spans="1:26" hidden="1" x14ac:dyDescent="0.45">
      <c r="A31" s="88" t="s">
        <v>313</v>
      </c>
      <c r="B31" s="13">
        <v>19</v>
      </c>
      <c r="D31" s="143">
        <v>0</v>
      </c>
      <c r="E31" s="143"/>
      <c r="F31" s="143">
        <v>0</v>
      </c>
      <c r="G31" s="143"/>
      <c r="H31" s="143">
        <v>0</v>
      </c>
      <c r="I31" s="143"/>
      <c r="J31" s="143"/>
      <c r="K31" s="143"/>
      <c r="L31" s="143">
        <v>0</v>
      </c>
      <c r="M31" s="143"/>
      <c r="N31" s="138">
        <v>0</v>
      </c>
      <c r="O31" s="143"/>
      <c r="P31" s="143">
        <v>0</v>
      </c>
      <c r="Q31" s="143"/>
      <c r="R31" s="143">
        <v>0</v>
      </c>
      <c r="S31" s="143"/>
      <c r="T31" s="143">
        <v>0</v>
      </c>
      <c r="U31" s="143"/>
      <c r="V31" s="143">
        <v>0</v>
      </c>
      <c r="W31" s="143"/>
      <c r="X31" s="138">
        <f t="shared" si="1"/>
        <v>0</v>
      </c>
    </row>
    <row r="32" spans="1:26" s="143" customFormat="1" x14ac:dyDescent="0.45">
      <c r="A32" s="161" t="s">
        <v>294</v>
      </c>
      <c r="B32" s="195">
        <v>24</v>
      </c>
      <c r="D32" s="143">
        <v>0</v>
      </c>
      <c r="F32" s="143">
        <v>0</v>
      </c>
      <c r="H32" s="143">
        <v>0</v>
      </c>
      <c r="J32" s="143">
        <v>0</v>
      </c>
      <c r="L32" s="143">
        <v>0</v>
      </c>
      <c r="N32" s="138">
        <v>0</v>
      </c>
      <c r="P32" s="143">
        <v>0</v>
      </c>
      <c r="R32" s="143">
        <v>0</v>
      </c>
      <c r="T32" s="143">
        <v>-69862240.180000007</v>
      </c>
      <c r="V32" s="143">
        <v>0</v>
      </c>
      <c r="X32" s="138">
        <f>SUM(D32:V32)</f>
        <v>-69862240.180000007</v>
      </c>
      <c r="Z32" s="138"/>
    </row>
    <row r="33" spans="1:28" s="143" customFormat="1" hidden="1" x14ac:dyDescent="0.45">
      <c r="A33" s="100" t="s">
        <v>256</v>
      </c>
      <c r="B33" s="196"/>
      <c r="D33" s="143">
        <v>0</v>
      </c>
      <c r="F33" s="143">
        <v>0</v>
      </c>
      <c r="H33" s="143">
        <v>0</v>
      </c>
      <c r="J33" s="143">
        <v>0</v>
      </c>
      <c r="N33" s="138"/>
      <c r="R33" s="143">
        <v>0</v>
      </c>
      <c r="T33" s="143">
        <f>-R33</f>
        <v>0</v>
      </c>
      <c r="V33" s="143">
        <v>0</v>
      </c>
      <c r="X33" s="138">
        <f>SUM(D33:V33)</f>
        <v>0</v>
      </c>
      <c r="Z33" s="138"/>
    </row>
    <row r="34" spans="1:28" s="143" customFormat="1" x14ac:dyDescent="0.45">
      <c r="A34" s="162" t="s">
        <v>297</v>
      </c>
      <c r="D34" s="138">
        <v>0</v>
      </c>
      <c r="E34" s="138"/>
      <c r="F34" s="138">
        <v>0</v>
      </c>
      <c r="G34" s="138"/>
      <c r="H34" s="138">
        <v>0</v>
      </c>
      <c r="I34" s="138"/>
      <c r="J34" s="138">
        <v>0</v>
      </c>
      <c r="K34" s="138"/>
      <c r="L34" s="138">
        <v>0</v>
      </c>
      <c r="M34" s="138"/>
      <c r="N34" s="138">
        <v>0</v>
      </c>
      <c r="O34" s="138"/>
      <c r="P34" s="138">
        <v>0</v>
      </c>
      <c r="Q34" s="138"/>
      <c r="R34" s="138">
        <v>0</v>
      </c>
      <c r="S34" s="138"/>
      <c r="T34" s="138">
        <f>+'PL_Q2-66'!J37</f>
        <v>30868730.050000031</v>
      </c>
      <c r="U34" s="138"/>
      <c r="V34" s="138">
        <f>+'PL_Q2-66'!J75</f>
        <v>0</v>
      </c>
      <c r="W34" s="138"/>
      <c r="X34" s="138">
        <f>SUM(D34:V34)</f>
        <v>30868730.050000031</v>
      </c>
      <c r="Y34" s="143">
        <f>T34-'PL_Q2-66'!J37</f>
        <v>0</v>
      </c>
    </row>
    <row r="35" spans="1:28" s="143" customFormat="1" hidden="1" x14ac:dyDescent="0.45">
      <c r="A35" s="88" t="s">
        <v>286</v>
      </c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</row>
    <row r="36" spans="1:28" s="143" customFormat="1" hidden="1" x14ac:dyDescent="0.45">
      <c r="A36" s="88" t="s">
        <v>287</v>
      </c>
      <c r="D36" s="138">
        <v>0</v>
      </c>
      <c r="E36" s="138"/>
      <c r="F36" s="138">
        <v>0</v>
      </c>
      <c r="G36" s="138"/>
      <c r="H36" s="138">
        <v>0</v>
      </c>
      <c r="I36" s="138"/>
      <c r="J36" s="138">
        <v>0</v>
      </c>
      <c r="K36" s="138"/>
      <c r="L36" s="138">
        <v>0</v>
      </c>
      <c r="M36" s="138"/>
      <c r="N36" s="138">
        <v>0</v>
      </c>
      <c r="O36" s="138"/>
      <c r="P36" s="138">
        <v>0</v>
      </c>
      <c r="Q36" s="138"/>
      <c r="R36" s="138">
        <v>0</v>
      </c>
      <c r="S36" s="138"/>
      <c r="T36" s="138">
        <f>-V36</f>
        <v>0</v>
      </c>
      <c r="U36" s="138"/>
      <c r="V36" s="138">
        <f>-V34</f>
        <v>0</v>
      </c>
      <c r="W36" s="138"/>
      <c r="X36" s="138">
        <f>SUM(D36:V36)</f>
        <v>0</v>
      </c>
    </row>
    <row r="37" spans="1:28" ht="7.5" customHeight="1" x14ac:dyDescent="0.45">
      <c r="D37" s="173"/>
      <c r="E37" s="143"/>
      <c r="F37" s="173"/>
      <c r="G37" s="138"/>
      <c r="H37" s="173"/>
      <c r="I37" s="143"/>
      <c r="J37" s="173"/>
      <c r="K37" s="138"/>
      <c r="L37" s="173"/>
      <c r="M37" s="138"/>
      <c r="N37" s="173"/>
      <c r="O37" s="138"/>
      <c r="P37" s="173"/>
      <c r="Q37" s="143"/>
      <c r="R37" s="173"/>
      <c r="S37" s="143"/>
      <c r="T37" s="173"/>
      <c r="U37" s="138"/>
      <c r="V37" s="173"/>
      <c r="W37" s="138"/>
      <c r="X37" s="173"/>
    </row>
    <row r="38" spans="1:28" ht="21.75" thickBot="1" x14ac:dyDescent="0.5">
      <c r="A38" s="84" t="s">
        <v>377</v>
      </c>
      <c r="D38" s="174">
        <f>SUM(D26:D37)</f>
        <v>1164401069.76</v>
      </c>
      <c r="E38" s="143"/>
      <c r="F38" s="174">
        <f>SUM(F26:F37)</f>
        <v>0</v>
      </c>
      <c r="G38" s="138"/>
      <c r="H38" s="174">
        <f>SUM(H26:H37)</f>
        <v>688264273.16999996</v>
      </c>
      <c r="I38" s="143"/>
      <c r="J38" s="174">
        <f>SUM(J26:J37)</f>
        <v>0</v>
      </c>
      <c r="K38" s="138"/>
      <c r="L38" s="174">
        <f>SUM(L32:L34)</f>
        <v>0</v>
      </c>
      <c r="M38" s="138"/>
      <c r="N38" s="174">
        <f>SUM(N32:N34)</f>
        <v>0</v>
      </c>
      <c r="O38" s="138"/>
      <c r="P38" s="174">
        <f>SUM(P32:P34)</f>
        <v>0</v>
      </c>
      <c r="Q38" s="143"/>
      <c r="R38" s="174">
        <f>SUM(R26:R37)</f>
        <v>101508576.81</v>
      </c>
      <c r="S38" s="143"/>
      <c r="T38" s="174">
        <f>SUM(T26:T37)</f>
        <v>933490099.29000008</v>
      </c>
      <c r="U38" s="138"/>
      <c r="V38" s="174">
        <f>SUM(V26:V37)</f>
        <v>0</v>
      </c>
      <c r="W38" s="138"/>
      <c r="X38" s="174">
        <f>SUM(X26:X37)</f>
        <v>2887664019.0300002</v>
      </c>
      <c r="Y38" s="84">
        <f>X38-'BS_Q2-66'!J119</f>
        <v>0</v>
      </c>
    </row>
    <row r="39" spans="1:28" ht="9.75" customHeight="1" thickTop="1" x14ac:dyDescent="0.45"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</row>
    <row r="40" spans="1:28" x14ac:dyDescent="0.45">
      <c r="A40" s="87" t="s">
        <v>298</v>
      </c>
    </row>
    <row r="41" spans="1:28" x14ac:dyDescent="0.45">
      <c r="A41" s="139"/>
    </row>
    <row r="43" spans="1:28" s="137" customFormat="1" x14ac:dyDescent="0.45">
      <c r="A43" s="100"/>
      <c r="C43" s="97"/>
      <c r="D43" s="100"/>
      <c r="E43" s="97"/>
      <c r="F43" s="97"/>
      <c r="G43" s="97"/>
      <c r="H43" s="97"/>
      <c r="I43" s="97"/>
      <c r="J43" s="100"/>
      <c r="K43" s="100"/>
      <c r="L43" s="100"/>
      <c r="M43" s="100"/>
      <c r="N43" s="100"/>
      <c r="O43" s="100"/>
      <c r="P43" s="100"/>
      <c r="Q43" s="97"/>
      <c r="R43" s="97"/>
      <c r="S43" s="97"/>
      <c r="T43" s="97"/>
      <c r="U43" s="97"/>
      <c r="V43" s="97"/>
      <c r="W43" s="97"/>
      <c r="X43" s="97"/>
      <c r="Y43" s="97"/>
      <c r="AB43" s="149"/>
    </row>
    <row r="44" spans="1:28" s="137" customFormat="1" x14ac:dyDescent="0.45">
      <c r="A44" s="100" t="s">
        <v>144</v>
      </c>
      <c r="C44" s="97"/>
      <c r="D44" s="100"/>
      <c r="E44" s="97"/>
      <c r="F44" s="97"/>
      <c r="G44" s="97"/>
      <c r="H44" s="97"/>
      <c r="I44" s="97"/>
      <c r="J44" s="100" t="s">
        <v>144</v>
      </c>
      <c r="K44" s="100"/>
      <c r="L44" s="100"/>
      <c r="M44" s="100"/>
      <c r="N44" s="100"/>
      <c r="O44" s="100"/>
      <c r="P44" s="100"/>
      <c r="Q44" s="97"/>
      <c r="R44" s="97"/>
      <c r="S44" s="97"/>
      <c r="T44" s="97"/>
      <c r="U44" s="97"/>
      <c r="V44" s="97"/>
      <c r="W44" s="97"/>
      <c r="X44" s="97"/>
      <c r="Y44" s="97"/>
      <c r="AB44" s="149"/>
    </row>
    <row r="45" spans="1:28" x14ac:dyDescent="0.45">
      <c r="A45" s="140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75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23"/>
  <sheetViews>
    <sheetView view="pageBreakPreview" zoomScaleNormal="120" zoomScaleSheetLayoutView="100" workbookViewId="0">
      <selection activeCell="D8" sqref="D8"/>
    </sheetView>
  </sheetViews>
  <sheetFormatPr defaultColWidth="9.140625" defaultRowHeight="16.5" customHeight="1" x14ac:dyDescent="0.4"/>
  <cols>
    <col min="1" max="3" width="2.7109375" style="18" customWidth="1"/>
    <col min="4" max="4" width="43.85546875" style="18" customWidth="1"/>
    <col min="5" max="5" width="6.42578125" style="13" customWidth="1"/>
    <col min="6" max="6" width="1.28515625" style="13" customWidth="1"/>
    <col min="7" max="7" width="13.140625" style="18" bestFit="1" customWidth="1"/>
    <col min="8" max="8" width="1.28515625" style="18" customWidth="1"/>
    <col min="9" max="9" width="12.28515625" style="18" bestFit="1" customWidth="1"/>
    <col min="10" max="10" width="1" style="18" customWidth="1"/>
    <col min="11" max="11" width="12.7109375" style="135" customWidth="1"/>
    <col min="12" max="12" width="1.42578125" style="18" customWidth="1"/>
    <col min="13" max="13" width="13.42578125" style="18" customWidth="1"/>
    <col min="14" max="14" width="1.7109375" style="18" customWidth="1"/>
    <col min="15" max="15" width="12.7109375" style="18" hidden="1" customWidth="1"/>
    <col min="16" max="16" width="13.28515625" style="18" hidden="1" customWidth="1"/>
    <col min="17" max="16384" width="9.140625" style="18"/>
  </cols>
  <sheetData>
    <row r="1" spans="1:15" ht="16.5" customHeight="1" x14ac:dyDescent="0.4">
      <c r="A1" s="3"/>
      <c r="M1" s="199"/>
    </row>
    <row r="2" spans="1:15" ht="17.25" customHeight="1" x14ac:dyDescent="0.4">
      <c r="K2" s="222" t="s">
        <v>310</v>
      </c>
      <c r="L2" s="222"/>
      <c r="M2" s="222"/>
    </row>
    <row r="3" spans="1:15" ht="16.5" customHeight="1" x14ac:dyDescent="0.4">
      <c r="A3" s="206" t="s">
        <v>131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5" ht="16.5" customHeight="1" x14ac:dyDescent="0.4">
      <c r="A4" s="212" t="s">
        <v>177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</row>
    <row r="5" spans="1:15" ht="16.5" customHeight="1" x14ac:dyDescent="0.4">
      <c r="A5" s="212" t="s">
        <v>372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</row>
    <row r="6" spans="1:15" ht="11.2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5" ht="16.5" customHeight="1" x14ac:dyDescent="0.4">
      <c r="A7" s="8"/>
      <c r="B7" s="8"/>
      <c r="C7" s="8"/>
      <c r="D7" s="8"/>
      <c r="E7" s="80"/>
      <c r="F7" s="80"/>
      <c r="G7" s="225" t="s">
        <v>164</v>
      </c>
      <c r="H7" s="225"/>
      <c r="I7" s="225"/>
      <c r="J7" s="225"/>
      <c r="K7" s="225"/>
      <c r="L7" s="225"/>
      <c r="M7" s="225"/>
    </row>
    <row r="8" spans="1:15" ht="16.5" customHeight="1" x14ac:dyDescent="0.4">
      <c r="E8" s="80"/>
      <c r="F8" s="80"/>
      <c r="G8" s="204" t="s">
        <v>198</v>
      </c>
      <c r="H8" s="204"/>
      <c r="I8" s="204"/>
      <c r="J8" s="81"/>
      <c r="K8" s="204" t="s">
        <v>199</v>
      </c>
      <c r="L8" s="204"/>
      <c r="M8" s="204"/>
    </row>
    <row r="9" spans="1:15" ht="16.5" customHeight="1" x14ac:dyDescent="0.4">
      <c r="E9" s="80"/>
      <c r="F9" s="80"/>
      <c r="G9" s="210" t="s">
        <v>334</v>
      </c>
      <c r="H9" s="210"/>
      <c r="I9" s="210"/>
      <c r="J9" s="3"/>
      <c r="K9" s="210" t="str">
        <f>+G9</f>
        <v>For the six-month period ended June 30</v>
      </c>
      <c r="L9" s="210"/>
      <c r="M9" s="210"/>
    </row>
    <row r="10" spans="1:15" ht="16.5" customHeight="1" x14ac:dyDescent="0.4">
      <c r="E10" s="80"/>
      <c r="F10" s="80"/>
      <c r="G10" s="188">
        <v>2023</v>
      </c>
      <c r="H10" s="80"/>
      <c r="I10" s="188">
        <v>2022</v>
      </c>
      <c r="J10" s="81"/>
      <c r="K10" s="157">
        <f>+G10</f>
        <v>2023</v>
      </c>
      <c r="L10" s="80"/>
      <c r="M10" s="157">
        <f>+I10</f>
        <v>2022</v>
      </c>
      <c r="N10" s="13"/>
      <c r="O10" s="28"/>
    </row>
    <row r="11" spans="1:15" ht="16.5" customHeight="1" x14ac:dyDescent="0.4">
      <c r="A11" s="192" t="s">
        <v>178</v>
      </c>
      <c r="B11" s="15"/>
      <c r="C11" s="15"/>
      <c r="D11" s="15"/>
      <c r="E11" s="80"/>
      <c r="F11" s="21"/>
      <c r="G11" s="154"/>
      <c r="H11" s="154"/>
      <c r="I11" s="154"/>
      <c r="J11" s="135"/>
      <c r="L11" s="135"/>
      <c r="M11" s="135"/>
    </row>
    <row r="12" spans="1:15" ht="16.5" customHeight="1" x14ac:dyDescent="0.4">
      <c r="A12" s="15"/>
      <c r="B12" s="18" t="s">
        <v>253</v>
      </c>
      <c r="C12" s="15"/>
      <c r="D12" s="15"/>
      <c r="E12" s="80"/>
      <c r="F12" s="21"/>
      <c r="G12" s="14">
        <f>+'PL_Q2-66'!F34</f>
        <v>72170280.61999999</v>
      </c>
      <c r="H12" s="14"/>
      <c r="I12" s="14">
        <f>+'PL_Q2-66'!H34</f>
        <v>-312108975.01999998</v>
      </c>
      <c r="J12" s="14"/>
      <c r="K12" s="14">
        <f>+'PL_Q2-66'!J34</f>
        <v>30868730.050000031</v>
      </c>
      <c r="L12" s="14"/>
      <c r="M12" s="14">
        <f>+'PL_Q2-66'!L34</f>
        <v>76066078.549999997</v>
      </c>
    </row>
    <row r="13" spans="1:15" ht="16.5" customHeight="1" x14ac:dyDescent="0.4">
      <c r="A13" s="15"/>
      <c r="B13" s="18" t="s">
        <v>179</v>
      </c>
      <c r="C13" s="15"/>
      <c r="D13" s="15"/>
      <c r="E13" s="80"/>
      <c r="F13" s="21"/>
      <c r="G13" s="14"/>
      <c r="H13" s="14"/>
      <c r="I13" s="14"/>
      <c r="J13" s="14"/>
      <c r="K13" s="14"/>
      <c r="L13" s="14"/>
      <c r="M13" s="14"/>
    </row>
    <row r="14" spans="1:15" ht="16.5" customHeight="1" x14ac:dyDescent="0.4">
      <c r="A14" s="15"/>
      <c r="C14" s="18" t="s">
        <v>195</v>
      </c>
      <c r="D14" s="15"/>
      <c r="E14" s="21"/>
      <c r="F14" s="21"/>
      <c r="G14" s="14"/>
      <c r="H14" s="14"/>
      <c r="I14" s="14"/>
      <c r="J14" s="14"/>
      <c r="K14" s="14"/>
      <c r="L14" s="14"/>
      <c r="M14" s="14"/>
    </row>
    <row r="15" spans="1:15" ht="16.5" customHeight="1" x14ac:dyDescent="0.4">
      <c r="A15" s="15"/>
      <c r="C15" s="18" t="s">
        <v>180</v>
      </c>
      <c r="E15" s="21" t="s">
        <v>378</v>
      </c>
      <c r="F15" s="21"/>
      <c r="G15" s="14">
        <v>12597746.59</v>
      </c>
      <c r="H15" s="14"/>
      <c r="I15" s="14">
        <v>8218963.0099999998</v>
      </c>
      <c r="J15" s="14"/>
      <c r="K15" s="14">
        <v>3547397.58</v>
      </c>
      <c r="L15" s="14"/>
      <c r="M15" s="14">
        <v>2961912.47</v>
      </c>
    </row>
    <row r="16" spans="1:15" ht="16.5" customHeight="1" x14ac:dyDescent="0.4">
      <c r="A16" s="15"/>
      <c r="B16" s="15"/>
      <c r="C16" s="9" t="s">
        <v>332</v>
      </c>
      <c r="E16" s="152" t="s">
        <v>350</v>
      </c>
      <c r="F16" s="21"/>
      <c r="G16" s="14">
        <v>54548718.310000002</v>
      </c>
      <c r="H16" s="22"/>
      <c r="I16" s="14">
        <v>92428932.260000005</v>
      </c>
      <c r="J16" s="22"/>
      <c r="K16" s="14">
        <v>33838584.799999997</v>
      </c>
      <c r="L16" s="14"/>
      <c r="M16" s="14">
        <v>42111788.789999999</v>
      </c>
    </row>
    <row r="17" spans="1:13" ht="16.5" customHeight="1" x14ac:dyDescent="0.4">
      <c r="A17" s="15"/>
      <c r="B17" s="15"/>
      <c r="C17" s="9" t="s">
        <v>380</v>
      </c>
      <c r="E17" s="152" t="s">
        <v>357</v>
      </c>
      <c r="F17" s="21"/>
      <c r="G17" s="14">
        <v>-98724559.209999993</v>
      </c>
      <c r="H17" s="22"/>
      <c r="I17" s="14">
        <v>434162086.55000001</v>
      </c>
      <c r="J17" s="22"/>
      <c r="K17" s="14">
        <v>-76866.179999999993</v>
      </c>
      <c r="L17" s="14"/>
      <c r="M17" s="14">
        <v>72488.13</v>
      </c>
    </row>
    <row r="18" spans="1:13" ht="16.5" customHeight="1" x14ac:dyDescent="0.4">
      <c r="A18" s="15"/>
      <c r="B18" s="15"/>
      <c r="C18" s="9" t="s">
        <v>340</v>
      </c>
      <c r="E18" s="152"/>
      <c r="F18" s="21"/>
      <c r="G18" s="14">
        <v>-906320.57</v>
      </c>
      <c r="H18" s="22"/>
      <c r="I18" s="14">
        <v>-115736009.66</v>
      </c>
      <c r="J18" s="22"/>
      <c r="K18" s="14">
        <v>-4284.75</v>
      </c>
      <c r="L18" s="14"/>
      <c r="M18" s="14">
        <v>-197972.13</v>
      </c>
    </row>
    <row r="19" spans="1:13" ht="16.5" customHeight="1" x14ac:dyDescent="0.4">
      <c r="A19" s="15"/>
      <c r="B19" s="15"/>
      <c r="C19" s="9" t="s">
        <v>379</v>
      </c>
      <c r="E19" s="152" t="s">
        <v>381</v>
      </c>
      <c r="F19" s="21"/>
      <c r="G19" s="14">
        <v>0</v>
      </c>
      <c r="H19" s="22"/>
      <c r="I19" s="14">
        <v>-760000</v>
      </c>
      <c r="J19" s="22"/>
      <c r="K19" s="14">
        <v>0</v>
      </c>
      <c r="L19" s="14"/>
      <c r="M19" s="14">
        <v>-760000</v>
      </c>
    </row>
    <row r="20" spans="1:13" ht="16.5" customHeight="1" x14ac:dyDescent="0.4">
      <c r="A20" s="15"/>
      <c r="B20" s="15"/>
      <c r="C20" s="9" t="s">
        <v>354</v>
      </c>
      <c r="E20" s="152" t="s">
        <v>353</v>
      </c>
      <c r="F20" s="21"/>
      <c r="G20" s="14">
        <v>0</v>
      </c>
      <c r="H20" s="22"/>
      <c r="I20" s="14">
        <v>0</v>
      </c>
      <c r="J20" s="22"/>
      <c r="K20" s="14">
        <v>0</v>
      </c>
      <c r="L20" s="14"/>
      <c r="M20" s="14">
        <v>9222000</v>
      </c>
    </row>
    <row r="21" spans="1:13" ht="16.5" customHeight="1" x14ac:dyDescent="0.4">
      <c r="A21" s="193"/>
      <c r="B21" s="15"/>
      <c r="C21" s="9" t="s">
        <v>356</v>
      </c>
      <c r="E21" s="6">
        <v>24</v>
      </c>
      <c r="F21" s="21"/>
      <c r="G21" s="165">
        <v>0</v>
      </c>
      <c r="H21" s="165"/>
      <c r="I21" s="165">
        <v>104835850.84</v>
      </c>
      <c r="J21" s="165"/>
      <c r="K21" s="165">
        <v>0</v>
      </c>
      <c r="L21" s="165"/>
      <c r="M21" s="165">
        <v>104835850.84</v>
      </c>
    </row>
    <row r="22" spans="1:13" ht="16.5" customHeight="1" x14ac:dyDescent="0.4">
      <c r="A22" s="15"/>
      <c r="B22" s="15"/>
      <c r="C22" s="15" t="s">
        <v>295</v>
      </c>
      <c r="E22" s="152"/>
      <c r="F22" s="21"/>
      <c r="G22" s="14">
        <v>-5000000</v>
      </c>
      <c r="H22" s="22"/>
      <c r="I22" s="14">
        <v>-4577046.68</v>
      </c>
      <c r="J22" s="22"/>
      <c r="K22" s="14">
        <v>-5000000</v>
      </c>
      <c r="L22" s="14"/>
      <c r="M22" s="14">
        <v>-3518937.9</v>
      </c>
    </row>
    <row r="23" spans="1:13" ht="16.5" customHeight="1" x14ac:dyDescent="0.4">
      <c r="A23" s="15"/>
      <c r="B23" s="15"/>
      <c r="C23" s="15" t="s">
        <v>254</v>
      </c>
      <c r="E23" s="13">
        <v>20</v>
      </c>
      <c r="F23" s="21"/>
      <c r="G23" s="14">
        <v>1372627</v>
      </c>
      <c r="H23" s="22"/>
      <c r="I23" s="14">
        <v>1115147</v>
      </c>
      <c r="J23" s="22"/>
      <c r="K23" s="14">
        <v>1230866</v>
      </c>
      <c r="L23" s="14"/>
      <c r="M23" s="14">
        <v>989231</v>
      </c>
    </row>
    <row r="24" spans="1:13" ht="16.5" customHeight="1" x14ac:dyDescent="0.4">
      <c r="A24" s="15"/>
      <c r="B24" s="15"/>
      <c r="C24" s="15" t="s">
        <v>261</v>
      </c>
      <c r="E24" s="13">
        <v>15.1</v>
      </c>
      <c r="F24" s="21"/>
      <c r="G24" s="18">
        <v>6578580.1100000003</v>
      </c>
      <c r="I24" s="18">
        <v>30951577.82</v>
      </c>
      <c r="K24" s="14">
        <v>6578580.1100000003</v>
      </c>
      <c r="M24" s="14">
        <v>30951577.82</v>
      </c>
    </row>
    <row r="25" spans="1:13" ht="16.5" customHeight="1" x14ac:dyDescent="0.4">
      <c r="A25" s="15"/>
      <c r="B25" s="15"/>
      <c r="C25" s="15" t="s">
        <v>255</v>
      </c>
      <c r="F25" s="21"/>
      <c r="G25" s="22">
        <v>-5073342.1399999997</v>
      </c>
      <c r="H25" s="22"/>
      <c r="I25" s="22">
        <v>-29991533.949999999</v>
      </c>
      <c r="J25" s="22"/>
      <c r="K25" s="18">
        <v>-1121322.8</v>
      </c>
      <c r="L25" s="22"/>
      <c r="M25" s="18">
        <v>-27483297.68</v>
      </c>
    </row>
    <row r="26" spans="1:13" ht="16.5" customHeight="1" x14ac:dyDescent="0.4">
      <c r="A26" s="15"/>
      <c r="B26" s="15"/>
      <c r="C26" s="15" t="s">
        <v>206</v>
      </c>
      <c r="E26" s="21"/>
      <c r="F26" s="21"/>
      <c r="G26" s="167">
        <v>5219442.4800000004</v>
      </c>
      <c r="H26" s="14"/>
      <c r="I26" s="167">
        <v>5232499.96</v>
      </c>
      <c r="J26" s="14"/>
      <c r="K26" s="167">
        <v>5591360.2999999998</v>
      </c>
      <c r="L26" s="14"/>
      <c r="M26" s="167">
        <v>5634171.1900000004</v>
      </c>
    </row>
    <row r="27" spans="1:13" ht="16.5" customHeight="1" x14ac:dyDescent="0.4">
      <c r="A27" s="15"/>
      <c r="B27" s="15" t="s">
        <v>235</v>
      </c>
      <c r="C27" s="15"/>
      <c r="D27" s="15"/>
      <c r="E27" s="21"/>
      <c r="F27" s="21"/>
      <c r="G27" s="14">
        <f>+SUM(G12:G26)</f>
        <v>42783173.189999983</v>
      </c>
      <c r="H27" s="22"/>
      <c r="I27" s="14">
        <f>+SUM(I12:I26)</f>
        <v>213771492.13000003</v>
      </c>
      <c r="J27" s="22"/>
      <c r="K27" s="14">
        <f>+SUM(K12:K26)</f>
        <v>75453045.110000029</v>
      </c>
      <c r="L27" s="22"/>
      <c r="M27" s="14">
        <f>+SUM(M12:M26)</f>
        <v>240884891.07999998</v>
      </c>
    </row>
    <row r="28" spans="1:13" ht="16.5" customHeight="1" x14ac:dyDescent="0.4">
      <c r="A28" s="15"/>
      <c r="B28" s="25" t="s">
        <v>181</v>
      </c>
      <c r="C28" s="15"/>
      <c r="D28" s="15"/>
      <c r="E28" s="21"/>
      <c r="F28" s="21"/>
      <c r="G28" s="14"/>
      <c r="H28" s="22"/>
      <c r="I28" s="14"/>
      <c r="J28" s="22"/>
      <c r="K28" s="14"/>
      <c r="L28" s="22"/>
      <c r="M28" s="14"/>
    </row>
    <row r="29" spans="1:13" ht="16.5" customHeight="1" x14ac:dyDescent="0.4">
      <c r="A29" s="15"/>
      <c r="B29" s="15"/>
      <c r="C29" s="131" t="s">
        <v>320</v>
      </c>
      <c r="D29" s="15"/>
      <c r="E29" s="30">
        <v>8.3000000000000007</v>
      </c>
      <c r="F29" s="21"/>
      <c r="G29" s="14">
        <v>183412778.13999999</v>
      </c>
      <c r="H29" s="14"/>
      <c r="I29" s="14">
        <v>-180996860.97999999</v>
      </c>
      <c r="J29" s="14"/>
      <c r="K29" s="14">
        <v>19071330.359999999</v>
      </c>
      <c r="L29" s="14"/>
      <c r="M29" s="14">
        <v>180654678</v>
      </c>
    </row>
    <row r="30" spans="1:13" ht="16.5" customHeight="1" x14ac:dyDescent="0.4">
      <c r="A30" s="15"/>
      <c r="B30" s="15"/>
      <c r="C30" s="15" t="s">
        <v>299</v>
      </c>
      <c r="D30" s="15"/>
      <c r="E30" s="21">
        <v>4</v>
      </c>
      <c r="F30" s="21"/>
      <c r="G30" s="14">
        <v>36822491.009999998</v>
      </c>
      <c r="H30" s="14"/>
      <c r="I30" s="14">
        <v>21657446.25</v>
      </c>
      <c r="J30" s="14"/>
      <c r="K30" s="14">
        <v>17325000</v>
      </c>
      <c r="L30" s="14"/>
      <c r="M30" s="14">
        <v>19425314.739999998</v>
      </c>
    </row>
    <row r="31" spans="1:13" ht="16.5" customHeight="1" x14ac:dyDescent="0.4">
      <c r="A31" s="15"/>
      <c r="B31" s="15"/>
      <c r="C31" s="15" t="s">
        <v>300</v>
      </c>
      <c r="D31" s="15"/>
      <c r="E31" s="30">
        <v>2.2000000000000002</v>
      </c>
      <c r="F31" s="21"/>
      <c r="G31" s="14">
        <v>-73981.11</v>
      </c>
      <c r="H31" s="14"/>
      <c r="I31" s="14">
        <v>60976192.609999999</v>
      </c>
      <c r="J31" s="14"/>
      <c r="K31" s="14">
        <v>-2200242.4700000002</v>
      </c>
      <c r="L31" s="14"/>
      <c r="M31" s="14">
        <v>2500000</v>
      </c>
    </row>
    <row r="32" spans="1:13" ht="16.5" customHeight="1" x14ac:dyDescent="0.4">
      <c r="A32" s="15"/>
      <c r="B32" s="15"/>
      <c r="C32" s="15" t="s">
        <v>327</v>
      </c>
      <c r="D32" s="15"/>
      <c r="E32" s="21">
        <v>5</v>
      </c>
      <c r="F32" s="21"/>
      <c r="G32" s="14">
        <v>-86403708.310000002</v>
      </c>
      <c r="H32" s="14"/>
      <c r="I32" s="14">
        <v>-24604934.440000001</v>
      </c>
      <c r="J32" s="14"/>
      <c r="K32" s="14">
        <v>-28674318.48</v>
      </c>
      <c r="L32" s="14"/>
      <c r="M32" s="14">
        <v>1297225.07</v>
      </c>
    </row>
    <row r="33" spans="1:13" ht="16.5" customHeight="1" x14ac:dyDescent="0.4">
      <c r="A33" s="15"/>
      <c r="B33" s="15"/>
      <c r="C33" s="15" t="s">
        <v>328</v>
      </c>
      <c r="D33" s="15"/>
      <c r="E33" s="30">
        <v>2.2999999999999998</v>
      </c>
      <c r="F33" s="21"/>
      <c r="G33" s="14">
        <v>0</v>
      </c>
      <c r="H33" s="14"/>
      <c r="I33" s="14">
        <v>0</v>
      </c>
      <c r="J33" s="14"/>
      <c r="K33" s="14">
        <v>0</v>
      </c>
      <c r="L33" s="14"/>
      <c r="M33" s="14">
        <v>14131589.279999999</v>
      </c>
    </row>
    <row r="34" spans="1:13" ht="16.5" customHeight="1" x14ac:dyDescent="0.4">
      <c r="A34" s="15"/>
      <c r="B34" s="15"/>
      <c r="C34" s="15" t="s">
        <v>184</v>
      </c>
      <c r="D34" s="15"/>
      <c r="E34" s="21"/>
      <c r="F34" s="21"/>
      <c r="G34" s="14">
        <v>3118569.53</v>
      </c>
      <c r="H34" s="14"/>
      <c r="I34" s="14">
        <v>-756343.91</v>
      </c>
      <c r="J34" s="14"/>
      <c r="K34" s="14">
        <v>2130327.4300000002</v>
      </c>
      <c r="L34" s="14"/>
      <c r="M34" s="14">
        <v>684826.93</v>
      </c>
    </row>
    <row r="35" spans="1:13" ht="16.5" customHeight="1" x14ac:dyDescent="0.4">
      <c r="A35" s="15"/>
      <c r="B35" s="15"/>
      <c r="C35" s="15" t="s">
        <v>139</v>
      </c>
      <c r="D35" s="15"/>
      <c r="E35" s="21"/>
      <c r="F35" s="21"/>
      <c r="G35" s="14">
        <v>373831.76</v>
      </c>
      <c r="H35" s="14"/>
      <c r="I35" s="14">
        <v>3746300</v>
      </c>
      <c r="J35" s="14"/>
      <c r="K35" s="14">
        <v>478929.36</v>
      </c>
      <c r="L35" s="14"/>
      <c r="M35" s="14">
        <v>3392700</v>
      </c>
    </row>
    <row r="36" spans="1:13" ht="16.5" customHeight="1" x14ac:dyDescent="0.4">
      <c r="A36" s="15"/>
      <c r="B36" s="15" t="s">
        <v>185</v>
      </c>
      <c r="C36" s="15"/>
      <c r="D36" s="15"/>
      <c r="E36" s="21"/>
      <c r="F36" s="21"/>
      <c r="G36" s="14"/>
      <c r="H36" s="14"/>
      <c r="I36" s="14"/>
      <c r="J36" s="14"/>
      <c r="K36" s="14"/>
      <c r="L36" s="14"/>
      <c r="M36" s="14"/>
    </row>
    <row r="37" spans="1:13" ht="16.5" customHeight="1" x14ac:dyDescent="0.4">
      <c r="A37" s="15"/>
      <c r="B37" s="15"/>
      <c r="C37" s="15" t="s">
        <v>301</v>
      </c>
      <c r="D37" s="15"/>
      <c r="E37" s="21">
        <v>17</v>
      </c>
      <c r="F37" s="21"/>
      <c r="G37" s="14">
        <v>15631.41</v>
      </c>
      <c r="H37" s="14"/>
      <c r="I37" s="14">
        <v>5348371.2699999996</v>
      </c>
      <c r="J37" s="14"/>
      <c r="K37" s="14">
        <v>0</v>
      </c>
      <c r="L37" s="14"/>
      <c r="M37" s="14">
        <v>0</v>
      </c>
    </row>
    <row r="38" spans="1:13" ht="16.5" customHeight="1" x14ac:dyDescent="0.4">
      <c r="A38" s="15"/>
      <c r="B38" s="15"/>
      <c r="C38" s="15" t="s">
        <v>302</v>
      </c>
      <c r="D38" s="15"/>
      <c r="E38" s="30"/>
      <c r="F38" s="21"/>
      <c r="G38" s="14">
        <v>0</v>
      </c>
      <c r="H38" s="14"/>
      <c r="I38" s="14">
        <v>0</v>
      </c>
      <c r="J38" s="14"/>
      <c r="K38" s="14">
        <v>-3800000</v>
      </c>
      <c r="L38" s="14"/>
      <c r="M38" s="14">
        <v>0</v>
      </c>
    </row>
    <row r="39" spans="1:13" ht="16.5" customHeight="1" x14ac:dyDescent="0.4">
      <c r="A39" s="15"/>
      <c r="B39" s="15"/>
      <c r="C39" s="15" t="s">
        <v>329</v>
      </c>
      <c r="D39" s="15"/>
      <c r="E39" s="21">
        <v>18</v>
      </c>
      <c r="F39" s="21"/>
      <c r="G39" s="14">
        <v>-4431040.0599999996</v>
      </c>
      <c r="H39" s="14"/>
      <c r="I39" s="14">
        <v>-17790741.300000001</v>
      </c>
      <c r="J39" s="14"/>
      <c r="K39" s="14">
        <v>1678070.1</v>
      </c>
      <c r="L39" s="14"/>
      <c r="M39" s="14">
        <v>-16382930.369999999</v>
      </c>
    </row>
    <row r="40" spans="1:13" ht="16.5" customHeight="1" x14ac:dyDescent="0.4">
      <c r="A40" s="15"/>
      <c r="B40" s="15"/>
      <c r="C40" s="15"/>
      <c r="D40" s="15"/>
      <c r="E40" s="21"/>
      <c r="F40" s="21"/>
      <c r="G40" s="14">
        <v>0</v>
      </c>
      <c r="H40" s="14"/>
      <c r="I40" s="14">
        <v>0</v>
      </c>
      <c r="J40" s="14"/>
      <c r="K40" s="14">
        <v>19108224.420000002</v>
      </c>
      <c r="L40" s="14"/>
      <c r="M40" s="14">
        <v>0</v>
      </c>
    </row>
    <row r="41" spans="1:13" ht="16.5" customHeight="1" x14ac:dyDescent="0.4">
      <c r="A41" s="15"/>
      <c r="B41" s="15"/>
      <c r="C41" s="15" t="s">
        <v>147</v>
      </c>
      <c r="D41" s="15"/>
      <c r="E41" s="21"/>
      <c r="F41" s="21"/>
      <c r="G41" s="14">
        <v>-16676792.029999999</v>
      </c>
      <c r="H41" s="14"/>
      <c r="I41" s="14">
        <v>-1852815.55</v>
      </c>
      <c r="J41" s="14"/>
      <c r="K41" s="14">
        <v>-8975199.0500000007</v>
      </c>
      <c r="L41" s="14"/>
      <c r="M41" s="14">
        <v>-1974180.13</v>
      </c>
    </row>
    <row r="42" spans="1:13" ht="16.5" customHeight="1" x14ac:dyDescent="0.4">
      <c r="A42" s="15"/>
      <c r="B42" s="15"/>
      <c r="C42" s="15" t="s">
        <v>278</v>
      </c>
      <c r="D42" s="15"/>
      <c r="E42" s="21"/>
      <c r="F42" s="21"/>
      <c r="G42" s="14">
        <v>974742.77</v>
      </c>
      <c r="H42" s="14"/>
      <c r="I42" s="14">
        <v>-8090617</v>
      </c>
      <c r="J42" s="14"/>
      <c r="K42" s="167">
        <v>832981.77</v>
      </c>
      <c r="L42" s="14"/>
      <c r="M42" s="167">
        <v>-8504386</v>
      </c>
    </row>
    <row r="43" spans="1:13" ht="16.5" customHeight="1" x14ac:dyDescent="0.4">
      <c r="A43" s="15"/>
      <c r="B43" s="15"/>
      <c r="C43" s="15"/>
      <c r="D43" s="15" t="s">
        <v>242</v>
      </c>
      <c r="E43" s="21"/>
      <c r="F43" s="21"/>
      <c r="G43" s="169">
        <f>SUM(G27:G42)</f>
        <v>159915696.29999995</v>
      </c>
      <c r="H43" s="22"/>
      <c r="I43" s="169">
        <f>SUM(I27:I42)</f>
        <v>71407489.080000043</v>
      </c>
      <c r="J43" s="22"/>
      <c r="K43" s="169">
        <f>SUM(K27:K42)</f>
        <v>92428148.550000027</v>
      </c>
      <c r="L43" s="22"/>
      <c r="M43" s="169">
        <f>SUM(M27:M42)</f>
        <v>436109728.59999996</v>
      </c>
    </row>
    <row r="44" spans="1:13" ht="16.5" customHeight="1" x14ac:dyDescent="0.4">
      <c r="A44" s="15"/>
      <c r="B44" s="15"/>
      <c r="C44" s="15"/>
      <c r="D44" s="15" t="s">
        <v>229</v>
      </c>
      <c r="E44" s="21"/>
      <c r="F44" s="21"/>
      <c r="G44" s="22">
        <v>-5219442.4800000004</v>
      </c>
      <c r="H44" s="22"/>
      <c r="I44" s="22">
        <v>-5232499.96</v>
      </c>
      <c r="J44" s="22"/>
      <c r="K44" s="22">
        <v>-5591360.2999999998</v>
      </c>
      <c r="L44" s="22"/>
      <c r="M44" s="22">
        <v>-5634171.1900000004</v>
      </c>
    </row>
    <row r="45" spans="1:13" ht="16.5" customHeight="1" x14ac:dyDescent="0.4">
      <c r="A45" s="15"/>
      <c r="B45" s="15"/>
      <c r="C45" s="15"/>
      <c r="D45" s="15" t="s">
        <v>197</v>
      </c>
      <c r="E45" s="21"/>
      <c r="F45" s="21"/>
      <c r="G45" s="22">
        <v>-1069815.3899999999</v>
      </c>
      <c r="H45" s="22"/>
      <c r="I45" s="22">
        <v>-43207708.549999997</v>
      </c>
      <c r="J45" s="22"/>
      <c r="K45" s="22">
        <v>-816381.01</v>
      </c>
      <c r="L45" s="22"/>
      <c r="M45" s="22">
        <v>-42963341.539999999</v>
      </c>
    </row>
    <row r="46" spans="1:13" ht="16.5" customHeight="1" x14ac:dyDescent="0.4">
      <c r="A46" s="15"/>
      <c r="B46" s="15"/>
      <c r="C46" s="15"/>
      <c r="D46" s="15" t="s">
        <v>194</v>
      </c>
      <c r="E46" s="21"/>
      <c r="F46" s="21"/>
      <c r="G46" s="170">
        <f>SUM(G43:G45)</f>
        <v>153626438.42999998</v>
      </c>
      <c r="H46" s="22"/>
      <c r="I46" s="170">
        <f>SUM(I43:I45)</f>
        <v>22967280.570000045</v>
      </c>
      <c r="J46" s="22"/>
      <c r="K46" s="170">
        <f>SUM(K43:K45)</f>
        <v>86020407.240000024</v>
      </c>
      <c r="L46" s="22"/>
      <c r="M46" s="170">
        <f>SUM(M43:M45)</f>
        <v>387512215.86999995</v>
      </c>
    </row>
    <row r="47" spans="1:13" ht="16.5" customHeight="1" x14ac:dyDescent="0.4">
      <c r="A47" s="15"/>
      <c r="B47" s="15"/>
      <c r="C47" s="15"/>
      <c r="D47" s="15"/>
      <c r="E47" s="21"/>
      <c r="F47" s="21"/>
      <c r="G47" s="134"/>
      <c r="H47" s="134"/>
      <c r="I47" s="134"/>
      <c r="J47" s="134"/>
      <c r="K47" s="134"/>
      <c r="L47" s="134"/>
      <c r="M47" s="134"/>
    </row>
    <row r="48" spans="1:13" ht="16.5" customHeight="1" x14ac:dyDescent="0.4">
      <c r="A48" s="15"/>
      <c r="B48" s="15"/>
      <c r="C48" s="15"/>
      <c r="D48" s="15"/>
      <c r="E48" s="21"/>
      <c r="F48" s="21"/>
      <c r="G48" s="134"/>
      <c r="H48" s="134"/>
      <c r="I48" s="134"/>
      <c r="J48" s="134"/>
      <c r="K48" s="134"/>
      <c r="L48" s="134"/>
      <c r="M48" s="134"/>
    </row>
    <row r="49" spans="1:13" ht="16.5" customHeight="1" x14ac:dyDescent="0.4">
      <c r="A49" s="15" t="s">
        <v>298</v>
      </c>
      <c r="B49" s="15"/>
      <c r="C49" s="15"/>
      <c r="D49" s="15"/>
      <c r="E49" s="21"/>
      <c r="F49" s="21"/>
      <c r="G49" s="134"/>
      <c r="H49" s="134"/>
      <c r="I49" s="134"/>
      <c r="J49" s="134"/>
      <c r="K49" s="134"/>
      <c r="L49" s="134"/>
      <c r="M49" s="134"/>
    </row>
    <row r="50" spans="1:13" ht="16.5" customHeight="1" x14ac:dyDescent="0.4">
      <c r="A50" s="15"/>
      <c r="B50" s="15"/>
      <c r="C50" s="15"/>
      <c r="D50" s="15"/>
      <c r="E50" s="21"/>
      <c r="F50" s="21"/>
      <c r="G50" s="134"/>
      <c r="H50" s="134"/>
      <c r="I50" s="134"/>
      <c r="J50" s="134"/>
      <c r="K50" s="134"/>
      <c r="L50" s="134"/>
      <c r="M50" s="134"/>
    </row>
    <row r="51" spans="1:13" ht="16.5" customHeight="1" x14ac:dyDescent="0.4">
      <c r="A51" s="15"/>
      <c r="B51" s="15"/>
      <c r="C51" s="15"/>
      <c r="D51" s="15"/>
      <c r="E51" s="21"/>
      <c r="F51" s="21"/>
      <c r="G51" s="134"/>
      <c r="H51" s="134"/>
      <c r="I51" s="134"/>
      <c r="J51" s="134"/>
      <c r="K51" s="134"/>
      <c r="L51" s="134"/>
      <c r="M51" s="134"/>
    </row>
    <row r="52" spans="1:13" ht="16.5" customHeight="1" x14ac:dyDescent="0.45">
      <c r="A52" s="139"/>
      <c r="G52" s="135"/>
      <c r="H52" s="135"/>
      <c r="I52" s="135"/>
      <c r="J52" s="135"/>
      <c r="L52" s="135"/>
      <c r="M52" s="135"/>
    </row>
    <row r="53" spans="1:13" ht="16.5" customHeight="1" x14ac:dyDescent="0.45">
      <c r="A53" s="139"/>
      <c r="G53" s="135"/>
      <c r="H53" s="135"/>
      <c r="I53" s="135"/>
      <c r="J53" s="135"/>
      <c r="L53" s="135"/>
      <c r="M53" s="135"/>
    </row>
    <row r="54" spans="1:13" ht="16.5" customHeight="1" x14ac:dyDescent="0.4">
      <c r="A54" s="13"/>
      <c r="B54" s="25" t="s">
        <v>144</v>
      </c>
      <c r="C54" s="13"/>
      <c r="D54" s="25"/>
      <c r="F54" s="25" t="s">
        <v>144</v>
      </c>
      <c r="G54" s="153"/>
      <c r="H54" s="153"/>
      <c r="I54" s="153"/>
      <c r="J54" s="153"/>
      <c r="K54" s="153"/>
      <c r="L54" s="153"/>
      <c r="M54" s="153"/>
    </row>
    <row r="55" spans="1:13" ht="16.5" customHeight="1" x14ac:dyDescent="0.4">
      <c r="A55" s="13"/>
      <c r="B55" s="25"/>
      <c r="C55" s="13"/>
      <c r="D55" s="25"/>
      <c r="F55" s="25"/>
      <c r="G55" s="153"/>
      <c r="H55" s="153"/>
      <c r="I55" s="153"/>
      <c r="J55" s="153"/>
      <c r="K55" s="153"/>
      <c r="L55" s="153"/>
      <c r="M55" s="153"/>
    </row>
    <row r="56" spans="1:13" ht="16.5" customHeight="1" x14ac:dyDescent="0.45">
      <c r="A56" s="223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</row>
    <row r="57" spans="1:13" ht="16.5" customHeight="1" x14ac:dyDescent="0.4">
      <c r="A57" s="192" t="s">
        <v>182</v>
      </c>
      <c r="B57" s="15"/>
      <c r="C57" s="15"/>
      <c r="D57" s="15"/>
      <c r="E57" s="21"/>
      <c r="F57" s="21"/>
      <c r="G57" s="14"/>
      <c r="H57" s="22"/>
      <c r="I57" s="14"/>
      <c r="J57" s="22"/>
      <c r="K57" s="14"/>
      <c r="L57" s="22"/>
      <c r="M57" s="14"/>
    </row>
    <row r="58" spans="1:13" ht="16.5" hidden="1" customHeight="1" x14ac:dyDescent="0.4">
      <c r="A58" s="192"/>
      <c r="C58" s="18" t="s">
        <v>288</v>
      </c>
      <c r="D58" s="15"/>
      <c r="E58" s="21"/>
      <c r="F58" s="21"/>
      <c r="G58" s="14">
        <v>0</v>
      </c>
      <c r="H58" s="14"/>
      <c r="I58" s="14">
        <v>0</v>
      </c>
      <c r="J58" s="14"/>
      <c r="K58" s="14">
        <v>0</v>
      </c>
      <c r="L58" s="14"/>
      <c r="M58" s="14">
        <v>0</v>
      </c>
    </row>
    <row r="59" spans="1:13" ht="16.5" customHeight="1" x14ac:dyDescent="0.4">
      <c r="A59" s="192"/>
      <c r="C59" s="15" t="s">
        <v>322</v>
      </c>
      <c r="D59" s="15"/>
      <c r="E59" s="21">
        <v>10</v>
      </c>
      <c r="F59" s="21"/>
      <c r="G59" s="14">
        <v>-80000017.689999998</v>
      </c>
      <c r="H59" s="14"/>
      <c r="I59" s="14">
        <v>-20000032.09</v>
      </c>
      <c r="J59" s="14"/>
      <c r="K59" s="14">
        <v>-80000000</v>
      </c>
      <c r="L59" s="14"/>
      <c r="M59" s="14">
        <v>-20000000</v>
      </c>
    </row>
    <row r="60" spans="1:13" s="15" customFormat="1" ht="16.5" customHeight="1" x14ac:dyDescent="0.4">
      <c r="C60" s="18" t="s">
        <v>213</v>
      </c>
      <c r="E60" s="151" t="s">
        <v>383</v>
      </c>
      <c r="F60" s="21"/>
      <c r="G60" s="14">
        <v>-21201.87</v>
      </c>
      <c r="H60" s="14"/>
      <c r="I60" s="14">
        <v>-33214810.5</v>
      </c>
      <c r="J60" s="14"/>
      <c r="K60" s="14">
        <v>-21201.87</v>
      </c>
      <c r="L60" s="14"/>
      <c r="M60" s="14">
        <v>-2614020.63</v>
      </c>
    </row>
    <row r="61" spans="1:13" s="15" customFormat="1" ht="16.5" customHeight="1" x14ac:dyDescent="0.4">
      <c r="C61" s="9" t="s">
        <v>305</v>
      </c>
      <c r="E61" s="151" t="s">
        <v>351</v>
      </c>
      <c r="F61" s="21"/>
      <c r="G61" s="14">
        <v>-70000000</v>
      </c>
      <c r="H61" s="14"/>
      <c r="I61" s="14">
        <v>48713028</v>
      </c>
      <c r="J61" s="14"/>
      <c r="K61" s="14">
        <v>-70000000</v>
      </c>
      <c r="L61" s="14"/>
      <c r="M61" s="14">
        <v>-16240000</v>
      </c>
    </row>
    <row r="62" spans="1:13" s="15" customFormat="1" ht="16.5" customHeight="1" x14ac:dyDescent="0.4">
      <c r="C62" s="9" t="s">
        <v>304</v>
      </c>
      <c r="E62" s="151" t="s">
        <v>384</v>
      </c>
      <c r="F62" s="21"/>
      <c r="G62" s="14">
        <v>0</v>
      </c>
      <c r="H62" s="14"/>
      <c r="I62" s="14">
        <v>0</v>
      </c>
      <c r="J62" s="14"/>
      <c r="K62" s="14">
        <v>94967850.299999997</v>
      </c>
      <c r="L62" s="14"/>
      <c r="M62" s="14">
        <v>-333323522.30000001</v>
      </c>
    </row>
    <row r="63" spans="1:13" s="15" customFormat="1" ht="16.5" customHeight="1" x14ac:dyDescent="0.4">
      <c r="C63" s="15" t="s">
        <v>295</v>
      </c>
      <c r="E63" s="151"/>
      <c r="F63" s="21"/>
      <c r="G63" s="14">
        <v>5000000</v>
      </c>
      <c r="H63" s="14"/>
      <c r="I63" s="14">
        <v>4577046.68</v>
      </c>
      <c r="J63" s="14"/>
      <c r="K63" s="14">
        <v>5000000</v>
      </c>
      <c r="L63" s="14"/>
      <c r="M63" s="14">
        <v>3518937.9</v>
      </c>
    </row>
    <row r="64" spans="1:13" ht="16.5" customHeight="1" x14ac:dyDescent="0.4">
      <c r="A64" s="15"/>
      <c r="B64" s="15"/>
      <c r="C64" s="15"/>
      <c r="D64" s="18" t="s">
        <v>267</v>
      </c>
      <c r="E64" s="21"/>
      <c r="F64" s="21"/>
      <c r="G64" s="170">
        <f>SUM(G58:G63)</f>
        <v>-145021219.56</v>
      </c>
      <c r="H64" s="22"/>
      <c r="I64" s="170">
        <f>SUM(I58:I63)</f>
        <v>75232.089999996126</v>
      </c>
      <c r="J64" s="22"/>
      <c r="K64" s="170">
        <f>SUM(K58:K63)</f>
        <v>-50053351.570000008</v>
      </c>
      <c r="L64" s="22"/>
      <c r="M64" s="170">
        <f>SUM(M58:M63)</f>
        <v>-368658605.03000003</v>
      </c>
    </row>
    <row r="65" spans="1:15" ht="16.5" customHeight="1" x14ac:dyDescent="0.4">
      <c r="A65" s="193" t="s">
        <v>189</v>
      </c>
      <c r="B65" s="15"/>
      <c r="C65" s="15"/>
      <c r="D65" s="15"/>
      <c r="E65" s="80"/>
      <c r="F65" s="21"/>
      <c r="G65" s="165"/>
      <c r="H65" s="165"/>
      <c r="I65" s="165"/>
      <c r="J65" s="165"/>
      <c r="K65" s="165"/>
      <c r="L65" s="165"/>
      <c r="M65" s="165"/>
    </row>
    <row r="66" spans="1:15" ht="16.5" customHeight="1" x14ac:dyDescent="0.4">
      <c r="A66" s="193"/>
      <c r="B66" s="15"/>
      <c r="C66" s="15" t="s">
        <v>289</v>
      </c>
      <c r="D66" s="15"/>
      <c r="E66" s="6">
        <v>16</v>
      </c>
      <c r="F66" s="21"/>
      <c r="G66" s="165">
        <v>140000000</v>
      </c>
      <c r="H66" s="165"/>
      <c r="I66" s="165">
        <v>75000000</v>
      </c>
      <c r="J66" s="165"/>
      <c r="K66" s="165">
        <v>140000000</v>
      </c>
      <c r="L66" s="165"/>
      <c r="M66" s="165">
        <v>75000000</v>
      </c>
    </row>
    <row r="67" spans="1:15" ht="16.5" customHeight="1" x14ac:dyDescent="0.4">
      <c r="A67" s="193"/>
      <c r="B67" s="15"/>
      <c r="C67" s="9" t="s">
        <v>269</v>
      </c>
      <c r="D67" s="15"/>
      <c r="E67" s="6">
        <v>21</v>
      </c>
      <c r="F67" s="21"/>
      <c r="G67" s="165">
        <v>0</v>
      </c>
      <c r="H67" s="165"/>
      <c r="I67" s="165">
        <v>46185626.900000006</v>
      </c>
      <c r="J67" s="165"/>
      <c r="K67" s="165">
        <v>0</v>
      </c>
      <c r="L67" s="165"/>
      <c r="M67" s="165">
        <v>46185626.900000006</v>
      </c>
    </row>
    <row r="68" spans="1:15" ht="16.5" customHeight="1" x14ac:dyDescent="0.4">
      <c r="A68" s="193"/>
      <c r="B68" s="15"/>
      <c r="C68" s="9" t="s">
        <v>311</v>
      </c>
      <c r="D68" s="15"/>
      <c r="E68" s="6"/>
      <c r="F68" s="21"/>
      <c r="G68" s="165">
        <v>0</v>
      </c>
      <c r="H68" s="165"/>
      <c r="I68" s="165">
        <v>-29008465.079999998</v>
      </c>
      <c r="J68" s="165"/>
      <c r="K68" s="165">
        <v>0</v>
      </c>
      <c r="L68" s="165"/>
      <c r="M68" s="165">
        <v>-29008465.079999998</v>
      </c>
    </row>
    <row r="69" spans="1:15" ht="16.5" customHeight="1" x14ac:dyDescent="0.4">
      <c r="A69" s="15"/>
      <c r="B69" s="15"/>
      <c r="C69" s="9" t="s">
        <v>258</v>
      </c>
      <c r="E69" s="13">
        <v>24</v>
      </c>
      <c r="F69" s="21"/>
      <c r="G69" s="22">
        <v>-69862240.180000007</v>
      </c>
      <c r="H69" s="22"/>
      <c r="I69" s="22">
        <v>-146770266.31999999</v>
      </c>
      <c r="J69" s="22"/>
      <c r="K69" s="22">
        <v>-69862240.180000007</v>
      </c>
      <c r="L69" s="22"/>
      <c r="M69" s="22">
        <v>-146770266.31999999</v>
      </c>
    </row>
    <row r="70" spans="1:15" ht="16.5" customHeight="1" x14ac:dyDescent="0.4">
      <c r="A70" s="15"/>
      <c r="B70" s="15"/>
      <c r="C70" s="9" t="s">
        <v>355</v>
      </c>
      <c r="F70" s="21"/>
      <c r="G70" s="167">
        <v>0</v>
      </c>
      <c r="H70" s="22"/>
      <c r="I70" s="167">
        <v>-67625880</v>
      </c>
      <c r="J70" s="22"/>
      <c r="K70" s="167">
        <v>0</v>
      </c>
      <c r="L70" s="22"/>
      <c r="M70" s="167">
        <v>0</v>
      </c>
    </row>
    <row r="71" spans="1:15" ht="16.5" customHeight="1" x14ac:dyDescent="0.4">
      <c r="A71" s="15"/>
      <c r="B71" s="15"/>
      <c r="C71" s="15"/>
      <c r="D71" s="18" t="s">
        <v>193</v>
      </c>
      <c r="E71" s="21"/>
      <c r="F71" s="21"/>
      <c r="G71" s="167">
        <f>SUM(G66:G70)</f>
        <v>70137759.819999993</v>
      </c>
      <c r="H71" s="22"/>
      <c r="I71" s="167">
        <f>SUM(I66:I70)</f>
        <v>-122218984.49999999</v>
      </c>
      <c r="J71" s="22"/>
      <c r="K71" s="167">
        <f>SUM(K66:K70)</f>
        <v>70137759.819999993</v>
      </c>
      <c r="L71" s="22"/>
      <c r="M71" s="167">
        <f>SUM(M66:M70)</f>
        <v>-54593104.499999985</v>
      </c>
    </row>
    <row r="72" spans="1:15" ht="16.5" customHeight="1" x14ac:dyDescent="0.4">
      <c r="A72" s="15" t="s">
        <v>171</v>
      </c>
      <c r="B72" s="15"/>
      <c r="C72" s="15"/>
      <c r="D72" s="15"/>
      <c r="E72" s="21"/>
      <c r="F72" s="21"/>
      <c r="G72" s="167">
        <v>1032496.18</v>
      </c>
      <c r="H72" s="22"/>
      <c r="I72" s="167">
        <v>9535850.2300000004</v>
      </c>
      <c r="J72" s="22"/>
      <c r="K72" s="167">
        <v>0</v>
      </c>
      <c r="L72" s="22"/>
      <c r="M72" s="167">
        <v>0</v>
      </c>
    </row>
    <row r="73" spans="1:15" ht="16.5" customHeight="1" x14ac:dyDescent="0.4">
      <c r="A73" s="192" t="s">
        <v>183</v>
      </c>
      <c r="B73" s="15"/>
      <c r="C73" s="15"/>
      <c r="D73" s="15"/>
      <c r="E73" s="21"/>
      <c r="F73" s="21"/>
      <c r="G73" s="171">
        <f>+G71+G64+G46+G72</f>
        <v>79775474.869999975</v>
      </c>
      <c r="H73" s="14"/>
      <c r="I73" s="171">
        <f>+I71+I64+I46+I72</f>
        <v>-89640621.60999994</v>
      </c>
      <c r="J73" s="14"/>
      <c r="K73" s="171">
        <f>+K71+K64+K46+K72</f>
        <v>106104815.49000001</v>
      </c>
      <c r="L73" s="14"/>
      <c r="M73" s="171">
        <f>+M71+M64+M46+M72</f>
        <v>-35739493.660000086</v>
      </c>
    </row>
    <row r="74" spans="1:15" ht="16.5" customHeight="1" x14ac:dyDescent="0.4">
      <c r="A74" s="192" t="s">
        <v>323</v>
      </c>
      <c r="B74" s="15"/>
      <c r="C74" s="15"/>
      <c r="D74" s="15"/>
      <c r="E74" s="21"/>
      <c r="F74" s="21"/>
      <c r="G74" s="171">
        <v>193802583.52000001</v>
      </c>
      <c r="H74" s="14"/>
      <c r="I74" s="171">
        <v>341495631.25999999</v>
      </c>
      <c r="J74" s="14"/>
      <c r="K74" s="14">
        <v>58130055.630000003</v>
      </c>
      <c r="L74" s="14"/>
      <c r="M74" s="14">
        <v>144066303.36000001</v>
      </c>
      <c r="O74" s="11"/>
    </row>
    <row r="75" spans="1:15" ht="16.5" customHeight="1" thickBot="1" x14ac:dyDescent="0.45">
      <c r="A75" s="192" t="s">
        <v>324</v>
      </c>
      <c r="B75" s="15"/>
      <c r="C75" s="15"/>
      <c r="D75" s="15"/>
      <c r="E75" s="21"/>
      <c r="F75" s="21"/>
      <c r="G75" s="172">
        <f>SUM(G73:G74)</f>
        <v>273578058.38999999</v>
      </c>
      <c r="H75" s="14"/>
      <c r="I75" s="172">
        <f>SUM(I73:I74)</f>
        <v>251855009.65000004</v>
      </c>
      <c r="J75" s="14"/>
      <c r="K75" s="172">
        <f>SUM(K73:K74)</f>
        <v>164234871.12</v>
      </c>
      <c r="L75" s="14"/>
      <c r="M75" s="172">
        <f>SUM(M73:M74)</f>
        <v>108326809.69999993</v>
      </c>
    </row>
    <row r="76" spans="1:15" ht="16.5" customHeight="1" thickTop="1" x14ac:dyDescent="0.4">
      <c r="E76" s="8"/>
      <c r="F76" s="8"/>
      <c r="G76" s="165"/>
      <c r="H76" s="165"/>
      <c r="I76" s="165"/>
      <c r="J76" s="165"/>
      <c r="K76" s="165"/>
      <c r="L76" s="165"/>
      <c r="M76" s="165"/>
    </row>
    <row r="77" spans="1:15" ht="16.5" customHeight="1" x14ac:dyDescent="0.4">
      <c r="A77" s="18" t="s">
        <v>342</v>
      </c>
      <c r="E77" s="151"/>
      <c r="F77" s="8"/>
      <c r="G77" s="133"/>
      <c r="H77" s="133"/>
      <c r="I77" s="133"/>
      <c r="J77" s="133"/>
      <c r="K77" s="133"/>
      <c r="L77" s="133"/>
      <c r="M77" s="133"/>
    </row>
    <row r="78" spans="1:15" ht="16.5" customHeight="1" x14ac:dyDescent="0.4">
      <c r="B78" s="15" t="s">
        <v>343</v>
      </c>
      <c r="E78" s="151"/>
      <c r="F78" s="8"/>
      <c r="G78" s="133">
        <v>0</v>
      </c>
      <c r="H78" s="133"/>
      <c r="I78" s="133">
        <v>64953028</v>
      </c>
      <c r="J78" s="133"/>
      <c r="K78" s="133">
        <v>0</v>
      </c>
      <c r="L78" s="133"/>
      <c r="M78" s="133">
        <v>0</v>
      </c>
    </row>
    <row r="79" spans="1:15" ht="16.5" customHeight="1" x14ac:dyDescent="0.4">
      <c r="B79" s="9" t="s">
        <v>344</v>
      </c>
      <c r="E79" s="151"/>
      <c r="F79" s="8"/>
      <c r="G79" s="133">
        <v>0</v>
      </c>
      <c r="H79" s="133"/>
      <c r="I79" s="133">
        <v>-64953028</v>
      </c>
      <c r="J79" s="133"/>
      <c r="K79" s="133">
        <v>0</v>
      </c>
      <c r="L79" s="133"/>
      <c r="M79" s="133">
        <v>0</v>
      </c>
    </row>
    <row r="80" spans="1:15" ht="16.5" customHeight="1" x14ac:dyDescent="0.4">
      <c r="B80" s="18" t="s">
        <v>385</v>
      </c>
      <c r="E80" s="151"/>
      <c r="F80" s="8"/>
      <c r="G80" s="133">
        <v>129564677.41</v>
      </c>
      <c r="H80" s="133"/>
      <c r="I80" s="133">
        <v>-211990599.63999999</v>
      </c>
      <c r="J80" s="133"/>
      <c r="K80" s="133">
        <v>4284.75</v>
      </c>
      <c r="L80" s="133"/>
      <c r="M80" s="133">
        <v>210557.99</v>
      </c>
    </row>
    <row r="81" spans="1:16" ht="16.5" customHeight="1" x14ac:dyDescent="0.4">
      <c r="B81" s="18" t="s">
        <v>258</v>
      </c>
      <c r="E81" s="151" t="s">
        <v>382</v>
      </c>
      <c r="F81" s="8"/>
      <c r="G81" s="133">
        <v>0</v>
      </c>
      <c r="H81" s="133"/>
      <c r="I81" s="133">
        <v>104835850.84</v>
      </c>
      <c r="J81" s="133"/>
      <c r="K81" s="133">
        <v>0</v>
      </c>
      <c r="L81" s="133"/>
      <c r="M81" s="133">
        <v>104835850.84</v>
      </c>
    </row>
    <row r="82" spans="1:16" ht="16.5" customHeight="1" x14ac:dyDescent="0.4">
      <c r="E82" s="151"/>
      <c r="F82" s="8"/>
      <c r="G82" s="133"/>
      <c r="H82" s="133"/>
      <c r="I82" s="133"/>
      <c r="J82" s="133"/>
      <c r="K82" s="133"/>
      <c r="L82" s="133"/>
      <c r="M82" s="133"/>
    </row>
    <row r="83" spans="1:16" ht="16.5" customHeight="1" x14ac:dyDescent="0.4">
      <c r="E83" s="151"/>
      <c r="F83" s="8"/>
      <c r="G83" s="133"/>
      <c r="H83" s="133"/>
      <c r="I83" s="133"/>
      <c r="J83" s="133"/>
      <c r="K83" s="133"/>
      <c r="L83" s="133"/>
      <c r="M83" s="133"/>
    </row>
    <row r="84" spans="1:16" ht="16.5" customHeight="1" x14ac:dyDescent="0.4">
      <c r="A84" s="15" t="s">
        <v>298</v>
      </c>
      <c r="E84" s="151"/>
      <c r="F84" s="8"/>
      <c r="G84" s="133"/>
      <c r="H84" s="133"/>
      <c r="I84" s="133"/>
      <c r="J84" s="133"/>
      <c r="K84" s="133"/>
      <c r="L84" s="133"/>
      <c r="M84" s="133"/>
    </row>
    <row r="85" spans="1:16" ht="16.5" customHeight="1" x14ac:dyDescent="0.4">
      <c r="F85" s="8"/>
      <c r="G85" s="133"/>
      <c r="H85" s="133"/>
      <c r="I85" s="133"/>
      <c r="J85" s="133"/>
      <c r="K85" s="133"/>
      <c r="L85" s="133"/>
      <c r="M85" s="133"/>
    </row>
    <row r="86" spans="1:16" ht="16.5" customHeight="1" x14ac:dyDescent="0.4">
      <c r="F86" s="8"/>
      <c r="G86" s="133"/>
      <c r="H86" s="133"/>
      <c r="I86" s="133"/>
      <c r="J86" s="133"/>
      <c r="K86" s="133"/>
      <c r="L86" s="133"/>
      <c r="M86" s="133"/>
    </row>
    <row r="87" spans="1:16" ht="16.5" customHeight="1" x14ac:dyDescent="0.4">
      <c r="F87" s="8"/>
      <c r="G87" s="133"/>
      <c r="H87" s="133"/>
      <c r="I87" s="133"/>
      <c r="J87" s="133"/>
      <c r="K87" s="133"/>
      <c r="L87" s="133"/>
      <c r="M87" s="133"/>
    </row>
    <row r="88" spans="1:16" ht="16.5" customHeight="1" x14ac:dyDescent="0.4">
      <c r="G88" s="135"/>
      <c r="H88" s="135"/>
      <c r="I88" s="135"/>
      <c r="J88" s="135"/>
      <c r="L88" s="135"/>
      <c r="M88" s="135"/>
    </row>
    <row r="89" spans="1:16" ht="16.5" customHeight="1" x14ac:dyDescent="0.45">
      <c r="A89" s="139"/>
      <c r="G89" s="135"/>
      <c r="H89" s="135"/>
      <c r="I89" s="135"/>
      <c r="J89" s="135"/>
      <c r="L89" s="135"/>
      <c r="M89" s="135"/>
    </row>
    <row r="90" spans="1:16" ht="16.5" customHeight="1" x14ac:dyDescent="0.45">
      <c r="A90" s="139"/>
      <c r="G90" s="135"/>
      <c r="H90" s="135"/>
      <c r="I90" s="135"/>
      <c r="J90" s="135"/>
      <c r="L90" s="135"/>
      <c r="M90" s="135"/>
    </row>
    <row r="91" spans="1:16" ht="16.5" customHeight="1" x14ac:dyDescent="0.4">
      <c r="A91" s="136"/>
      <c r="G91" s="135"/>
      <c r="H91" s="135"/>
      <c r="I91" s="135"/>
      <c r="J91" s="135"/>
      <c r="L91" s="135"/>
      <c r="M91" s="135"/>
    </row>
    <row r="92" spans="1:16" ht="16.5" customHeight="1" x14ac:dyDescent="0.4">
      <c r="A92" s="136"/>
      <c r="B92" s="25" t="s">
        <v>144</v>
      </c>
      <c r="C92" s="13"/>
      <c r="D92" s="25"/>
      <c r="F92" s="25" t="s">
        <v>144</v>
      </c>
      <c r="G92" s="153"/>
      <c r="H92" s="153"/>
      <c r="I92" s="153"/>
      <c r="J92" s="153"/>
      <c r="K92" s="153"/>
      <c r="L92" s="153"/>
      <c r="M92" s="153"/>
    </row>
    <row r="93" spans="1:16" ht="16.5" customHeight="1" x14ac:dyDescent="0.4">
      <c r="A93" s="9"/>
      <c r="G93" s="135"/>
      <c r="H93" s="135"/>
      <c r="I93" s="135"/>
      <c r="J93" s="135"/>
      <c r="L93" s="135"/>
      <c r="M93" s="135"/>
    </row>
    <row r="94" spans="1:16" s="3" customFormat="1" ht="16.5" customHeight="1" x14ac:dyDescent="0.45">
      <c r="A94" s="224"/>
      <c r="B94" s="224"/>
      <c r="C94" s="224"/>
      <c r="D94" s="224"/>
      <c r="E94" s="224"/>
      <c r="F94" s="224"/>
      <c r="G94" s="224"/>
      <c r="H94" s="224"/>
      <c r="I94" s="224"/>
      <c r="J94" s="224"/>
      <c r="K94" s="224"/>
      <c r="L94" s="224"/>
      <c r="M94" s="224"/>
      <c r="P94" s="7"/>
    </row>
    <row r="95" spans="1:16" ht="16.5" hidden="1" customHeight="1" x14ac:dyDescent="0.4">
      <c r="E95" s="8"/>
      <c r="F95" s="8"/>
      <c r="G95" s="135"/>
      <c r="H95" s="135"/>
      <c r="I95" s="135"/>
      <c r="J95" s="135"/>
      <c r="L95" s="135"/>
      <c r="M95" s="135"/>
    </row>
    <row r="96" spans="1:16" ht="16.5" hidden="1" customHeight="1" x14ac:dyDescent="0.4">
      <c r="D96" s="10" t="s">
        <v>210</v>
      </c>
      <c r="E96" s="8"/>
      <c r="F96" s="8"/>
      <c r="G96" s="133">
        <v>273578058.38999999</v>
      </c>
      <c r="H96" s="134"/>
      <c r="I96" s="133">
        <v>251855009.65000001</v>
      </c>
      <c r="J96" s="134"/>
      <c r="K96" s="133">
        <v>164234871.12</v>
      </c>
      <c r="L96" s="133"/>
      <c r="M96" s="133">
        <v>108326809.7</v>
      </c>
    </row>
    <row r="97" spans="4:13" ht="16.5" hidden="1" customHeight="1" x14ac:dyDescent="0.4">
      <c r="D97" s="10" t="s">
        <v>211</v>
      </c>
      <c r="E97" s="8"/>
      <c r="F97" s="8"/>
      <c r="G97" s="135">
        <f>+G96-G75</f>
        <v>0</v>
      </c>
      <c r="H97" s="135"/>
      <c r="I97" s="135">
        <f>+I96-I75</f>
        <v>0</v>
      </c>
      <c r="J97" s="135"/>
      <c r="K97" s="135">
        <f>+K96-K75</f>
        <v>0</v>
      </c>
      <c r="L97" s="135"/>
      <c r="M97" s="135">
        <f>+M96-M75</f>
        <v>0</v>
      </c>
    </row>
    <row r="98" spans="4:13" ht="16.5" customHeight="1" x14ac:dyDescent="0.4">
      <c r="E98" s="8"/>
      <c r="F98" s="8"/>
      <c r="G98" s="135"/>
      <c r="H98" s="135"/>
      <c r="I98" s="135"/>
      <c r="J98" s="135"/>
      <c r="L98" s="135"/>
      <c r="M98" s="135"/>
    </row>
    <row r="99" spans="4:13" ht="16.5" customHeight="1" x14ac:dyDescent="0.4">
      <c r="E99" s="8"/>
      <c r="F99" s="8"/>
      <c r="G99" s="135"/>
      <c r="H99" s="135"/>
      <c r="I99" s="135"/>
      <c r="J99" s="135"/>
      <c r="L99" s="135"/>
      <c r="M99" s="135"/>
    </row>
    <row r="100" spans="4:13" ht="16.5" customHeight="1" x14ac:dyDescent="0.4">
      <c r="E100" s="8"/>
      <c r="F100" s="8"/>
      <c r="G100" s="135"/>
      <c r="H100" s="135"/>
      <c r="I100" s="135"/>
      <c r="J100" s="135"/>
      <c r="L100" s="135"/>
      <c r="M100" s="135"/>
    </row>
    <row r="101" spans="4:13" ht="16.5" customHeight="1" x14ac:dyDescent="0.4">
      <c r="E101" s="8"/>
      <c r="F101" s="8"/>
      <c r="G101" s="135"/>
      <c r="H101" s="135"/>
      <c r="I101" s="135"/>
      <c r="J101" s="135"/>
      <c r="L101" s="135"/>
      <c r="M101" s="135"/>
    </row>
    <row r="102" spans="4:13" ht="16.5" customHeight="1" x14ac:dyDescent="0.4">
      <c r="E102" s="8"/>
      <c r="F102" s="8"/>
      <c r="G102" s="135"/>
      <c r="H102" s="135"/>
      <c r="I102" s="135"/>
      <c r="J102" s="135"/>
      <c r="L102" s="135"/>
      <c r="M102" s="135"/>
    </row>
    <row r="103" spans="4:13" ht="16.5" customHeight="1" x14ac:dyDescent="0.4">
      <c r="E103" s="8"/>
      <c r="F103" s="8"/>
      <c r="G103" s="135"/>
      <c r="H103" s="135"/>
      <c r="I103" s="135"/>
      <c r="J103" s="135"/>
      <c r="L103" s="135"/>
      <c r="M103" s="135"/>
    </row>
    <row r="104" spans="4:13" ht="16.5" customHeight="1" x14ac:dyDescent="0.4">
      <c r="E104" s="8"/>
      <c r="F104" s="8"/>
    </row>
    <row r="105" spans="4:13" ht="16.5" customHeight="1" x14ac:dyDescent="0.4">
      <c r="E105" s="8"/>
      <c r="F105" s="8"/>
    </row>
    <row r="106" spans="4:13" ht="16.5" customHeight="1" x14ac:dyDescent="0.4">
      <c r="E106" s="8"/>
      <c r="F106" s="8"/>
    </row>
    <row r="107" spans="4:13" ht="16.5" customHeight="1" x14ac:dyDescent="0.4">
      <c r="E107" s="8"/>
      <c r="F107" s="8"/>
    </row>
    <row r="108" spans="4:13" ht="16.5" customHeight="1" x14ac:dyDescent="0.4">
      <c r="E108" s="8"/>
      <c r="F108" s="8"/>
    </row>
    <row r="109" spans="4:13" ht="16.5" customHeight="1" x14ac:dyDescent="0.4">
      <c r="E109" s="8"/>
      <c r="F109" s="8"/>
    </row>
    <row r="110" spans="4:13" ht="16.5" customHeight="1" x14ac:dyDescent="0.4">
      <c r="E110" s="8"/>
      <c r="F110" s="8"/>
    </row>
    <row r="111" spans="4:13" ht="16.5" customHeight="1" x14ac:dyDescent="0.4">
      <c r="E111" s="8"/>
      <c r="F111" s="8"/>
    </row>
    <row r="112" spans="4:13" ht="16.5" customHeight="1" x14ac:dyDescent="0.4">
      <c r="E112" s="8"/>
      <c r="F112" s="8"/>
    </row>
    <row r="113" spans="5:6" ht="16.5" customHeight="1" x14ac:dyDescent="0.4">
      <c r="E113" s="8"/>
      <c r="F113" s="8"/>
    </row>
    <row r="114" spans="5:6" ht="16.5" customHeight="1" x14ac:dyDescent="0.4">
      <c r="E114" s="8"/>
      <c r="F114" s="8"/>
    </row>
    <row r="115" spans="5:6" ht="16.5" customHeight="1" x14ac:dyDescent="0.4">
      <c r="E115" s="8"/>
      <c r="F115" s="8"/>
    </row>
    <row r="116" spans="5:6" ht="16.5" customHeight="1" x14ac:dyDescent="0.4">
      <c r="E116" s="8"/>
      <c r="F116" s="8"/>
    </row>
    <row r="117" spans="5:6" ht="16.5" customHeight="1" x14ac:dyDescent="0.4">
      <c r="E117" s="8"/>
      <c r="F117" s="8"/>
    </row>
    <row r="118" spans="5:6" ht="16.5" customHeight="1" x14ac:dyDescent="0.4">
      <c r="E118" s="8"/>
      <c r="F118" s="8"/>
    </row>
    <row r="119" spans="5:6" ht="16.5" customHeight="1" x14ac:dyDescent="0.4">
      <c r="E119" s="8"/>
      <c r="F119" s="8"/>
    </row>
    <row r="120" spans="5:6" ht="16.5" customHeight="1" x14ac:dyDescent="0.4">
      <c r="E120" s="8"/>
      <c r="F120" s="8"/>
    </row>
    <row r="121" spans="5:6" ht="16.5" customHeight="1" x14ac:dyDescent="0.4">
      <c r="E121" s="8"/>
      <c r="F121" s="8"/>
    </row>
    <row r="122" spans="5:6" ht="16.5" customHeight="1" x14ac:dyDescent="0.4">
      <c r="E122" s="8"/>
      <c r="F122" s="8"/>
    </row>
    <row r="123" spans="5:6" ht="16.5" customHeight="1" x14ac:dyDescent="0.4">
      <c r="E123" s="8"/>
      <c r="F123" s="8"/>
    </row>
  </sheetData>
  <mergeCells count="11">
    <mergeCell ref="K9:M9"/>
    <mergeCell ref="K2:M2"/>
    <mergeCell ref="A56:M56"/>
    <mergeCell ref="A94:M94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47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5" max="12" man="1"/>
  </rowBreaks>
  <ignoredErrors>
    <ignoredError sqref="E64:F64" numberStoredAsText="1"/>
    <ignoredError sqref="H64 L64 J64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88" customWidth="1"/>
    <col min="2" max="2" width="13.42578125" style="104" bestFit="1" customWidth="1"/>
    <col min="3" max="3" width="13.85546875" style="84" bestFit="1" customWidth="1"/>
    <col min="4" max="4" width="14.85546875" style="89" bestFit="1" customWidth="1"/>
    <col min="5" max="6" width="12.7109375" style="84" customWidth="1"/>
    <col min="7" max="7" width="14.85546875" style="84" bestFit="1" customWidth="1"/>
    <col min="8" max="8" width="15.28515625" style="87" customWidth="1"/>
    <col min="9" max="10" width="12.7109375" style="84" customWidth="1"/>
    <col min="11" max="11" width="2.28515625" style="88" customWidth="1"/>
    <col min="12" max="13" width="12.7109375" style="88" customWidth="1"/>
    <col min="14" max="16384" width="9.140625" style="88"/>
  </cols>
  <sheetData>
    <row r="1" spans="1:10" x14ac:dyDescent="0.45">
      <c r="A1" s="82" t="s">
        <v>52</v>
      </c>
      <c r="B1" s="83"/>
      <c r="D1" s="85"/>
      <c r="E1" s="86"/>
      <c r="F1" s="86"/>
    </row>
    <row r="2" spans="1:10" ht="21.75" customHeight="1" x14ac:dyDescent="0.45">
      <c r="A2" s="82" t="s">
        <v>89</v>
      </c>
      <c r="B2" s="83"/>
    </row>
    <row r="3" spans="1:10" ht="21.75" customHeight="1" x14ac:dyDescent="0.45">
      <c r="A3" s="90" t="s">
        <v>69</v>
      </c>
      <c r="B3" s="91"/>
      <c r="C3" s="92"/>
      <c r="D3" s="93"/>
      <c r="E3" s="92"/>
      <c r="F3" s="92"/>
      <c r="G3" s="92"/>
      <c r="H3" s="94"/>
      <c r="I3" s="92"/>
      <c r="J3" s="92"/>
    </row>
    <row r="4" spans="1:10" ht="21.75" customHeight="1" x14ac:dyDescent="0.45">
      <c r="A4" s="95"/>
      <c r="B4" s="83"/>
      <c r="H4" s="226" t="s">
        <v>71</v>
      </c>
      <c r="I4" s="226"/>
    </row>
    <row r="5" spans="1:10" s="97" customFormat="1" ht="24" customHeight="1" x14ac:dyDescent="0.45">
      <c r="B5" s="98" t="s">
        <v>63</v>
      </c>
      <c r="C5" s="96" t="s">
        <v>64</v>
      </c>
      <c r="D5" s="91" t="s">
        <v>65</v>
      </c>
      <c r="E5" s="96" t="s">
        <v>67</v>
      </c>
      <c r="F5" s="96" t="s">
        <v>66</v>
      </c>
      <c r="G5" s="96" t="s">
        <v>27</v>
      </c>
      <c r="H5" s="99" t="s">
        <v>72</v>
      </c>
      <c r="I5" s="86" t="s">
        <v>73</v>
      </c>
      <c r="J5" s="92" t="s">
        <v>33</v>
      </c>
    </row>
    <row r="6" spans="1:10" s="97" customFormat="1" ht="24.75" customHeight="1" x14ac:dyDescent="0.45">
      <c r="A6" s="100" t="s">
        <v>90</v>
      </c>
      <c r="B6" s="101"/>
      <c r="C6" s="86"/>
      <c r="D6" s="85"/>
      <c r="E6" s="86"/>
      <c r="F6" s="86"/>
      <c r="G6" s="86"/>
      <c r="H6" s="102"/>
      <c r="I6" s="86"/>
      <c r="J6" s="84"/>
    </row>
    <row r="7" spans="1:10" s="97" customFormat="1" ht="18" customHeight="1" x14ac:dyDescent="0.45">
      <c r="B7" s="101"/>
      <c r="C7" s="86"/>
      <c r="D7" s="85"/>
      <c r="E7" s="103">
        <v>25000</v>
      </c>
      <c r="F7" s="103">
        <v>250000</v>
      </c>
      <c r="G7" s="86"/>
      <c r="H7" s="102"/>
      <c r="I7" s="86"/>
      <c r="J7" s="84"/>
    </row>
    <row r="8" spans="1:10" x14ac:dyDescent="0.45">
      <c r="A8" s="88" t="s">
        <v>98</v>
      </c>
      <c r="B8" s="104">
        <v>4250000</v>
      </c>
      <c r="C8" s="84">
        <v>10000000</v>
      </c>
      <c r="D8" s="89">
        <v>42940000</v>
      </c>
      <c r="E8" s="84">
        <f>+E7*36.48</f>
        <v>911999.99999999988</v>
      </c>
      <c r="F8" s="84">
        <f>+F7*35.32</f>
        <v>8830000</v>
      </c>
    </row>
    <row r="9" spans="1:10" x14ac:dyDescent="0.45">
      <c r="A9" s="88" t="s">
        <v>128</v>
      </c>
      <c r="B9" s="104">
        <v>533031.27</v>
      </c>
      <c r="C9" s="84">
        <v>-11662591.75</v>
      </c>
      <c r="D9" s="89">
        <v>-18618021.34</v>
      </c>
      <c r="E9" s="84">
        <v>0</v>
      </c>
      <c r="F9" s="84">
        <v>0</v>
      </c>
    </row>
    <row r="10" spans="1:10" x14ac:dyDescent="0.45">
      <c r="A10" s="88" t="s">
        <v>91</v>
      </c>
      <c r="B10" s="104">
        <v>99.99</v>
      </c>
      <c r="C10" s="84">
        <v>49.99</v>
      </c>
      <c r="D10" s="89">
        <v>99.99</v>
      </c>
      <c r="E10" s="84">
        <v>100</v>
      </c>
      <c r="F10" s="84">
        <v>51</v>
      </c>
    </row>
    <row r="11" spans="1:10" x14ac:dyDescent="0.45">
      <c r="A11" s="105" t="s">
        <v>92</v>
      </c>
      <c r="B11" s="93">
        <f>+B10*B8/100</f>
        <v>4249575</v>
      </c>
      <c r="C11" s="93">
        <f>+C10*C8/100</f>
        <v>4999000</v>
      </c>
      <c r="D11" s="93">
        <f>+D10*D8/100</f>
        <v>42935706</v>
      </c>
      <c r="E11" s="93">
        <f>+E10*E8/100</f>
        <v>911999.99999999988</v>
      </c>
      <c r="F11" s="93">
        <f>+F10*F8/100</f>
        <v>4503300</v>
      </c>
      <c r="G11" s="92"/>
      <c r="H11" s="106"/>
    </row>
    <row r="12" spans="1:10" x14ac:dyDescent="0.45">
      <c r="A12" s="88" t="s">
        <v>97</v>
      </c>
      <c r="B12" s="107">
        <v>4001000</v>
      </c>
      <c r="C12" s="108">
        <v>1250375</v>
      </c>
      <c r="D12" s="109">
        <f>24321978.66+21431024.34</f>
        <v>45753003</v>
      </c>
      <c r="E12" s="108">
        <v>912000</v>
      </c>
      <c r="F12" s="108">
        <v>4503300</v>
      </c>
      <c r="G12" s="110">
        <f t="shared" ref="G12:G17" si="0">+SUM(B12:F12)</f>
        <v>56419678</v>
      </c>
    </row>
    <row r="13" spans="1:10" x14ac:dyDescent="0.45">
      <c r="A13" s="111" t="s">
        <v>93</v>
      </c>
      <c r="B13" s="112">
        <v>4782963.74</v>
      </c>
      <c r="C13" s="93">
        <v>-1662591.75</v>
      </c>
      <c r="D13" s="93">
        <v>24321978.66</v>
      </c>
      <c r="E13" s="93">
        <v>899000</v>
      </c>
      <c r="F13" s="93">
        <v>4584900</v>
      </c>
      <c r="G13" s="113">
        <f t="shared" si="0"/>
        <v>32926250.649999999</v>
      </c>
      <c r="H13" s="106"/>
    </row>
    <row r="14" spans="1:10" x14ac:dyDescent="0.45">
      <c r="A14" s="114" t="s">
        <v>9</v>
      </c>
      <c r="B14" s="115">
        <f>+B13-B12</f>
        <v>781963.74000000022</v>
      </c>
      <c r="C14" s="115">
        <f>+C13-C12</f>
        <v>-2912966.75</v>
      </c>
      <c r="D14" s="115">
        <f>+D13-D12</f>
        <v>-21431024.34</v>
      </c>
      <c r="E14" s="115">
        <f>+E13-E12</f>
        <v>-13000</v>
      </c>
      <c r="F14" s="115">
        <f>+F13-F12</f>
        <v>81600</v>
      </c>
      <c r="G14" s="113">
        <f t="shared" si="0"/>
        <v>-23493427.350000001</v>
      </c>
      <c r="H14" s="106"/>
    </row>
    <row r="15" spans="1:10" x14ac:dyDescent="0.45">
      <c r="A15" s="116" t="s">
        <v>94</v>
      </c>
      <c r="B15" s="84">
        <v>9963921.2899999991</v>
      </c>
      <c r="C15" s="84">
        <v>-1090678.93</v>
      </c>
      <c r="D15" s="89">
        <v>-1566605.83</v>
      </c>
      <c r="E15" s="84">
        <v>271135.14</v>
      </c>
      <c r="F15" s="84">
        <v>40003.35</v>
      </c>
      <c r="G15" s="84">
        <f t="shared" si="0"/>
        <v>7617775.0199999986</v>
      </c>
    </row>
    <row r="16" spans="1:10" x14ac:dyDescent="0.45">
      <c r="A16" s="88" t="s">
        <v>95</v>
      </c>
      <c r="B16" s="104">
        <f>+B15*B10/100</f>
        <v>9962924.8978709988</v>
      </c>
      <c r="C16" s="104"/>
      <c r="D16" s="104"/>
      <c r="E16" s="104">
        <f>+E15*E10/100</f>
        <v>271135.14</v>
      </c>
      <c r="F16" s="104">
        <f>+F15*F10/100</f>
        <v>20401.708499999997</v>
      </c>
      <c r="G16" s="84">
        <f t="shared" si="0"/>
        <v>10254461.746370999</v>
      </c>
    </row>
    <row r="17" spans="1:10" x14ac:dyDescent="0.45">
      <c r="A17" s="88" t="s">
        <v>96</v>
      </c>
      <c r="C17" s="104">
        <f>+C15*C10/100</f>
        <v>-545230.397107</v>
      </c>
      <c r="D17" s="104">
        <f>+D15*D10/100</f>
        <v>-1566449.1694170001</v>
      </c>
      <c r="E17" s="104"/>
      <c r="F17" s="104"/>
      <c r="G17" s="84">
        <f t="shared" si="0"/>
        <v>-2111679.5665239999</v>
      </c>
    </row>
    <row r="18" spans="1:10" x14ac:dyDescent="0.45">
      <c r="C18" s="104"/>
      <c r="D18" s="104"/>
      <c r="E18" s="104"/>
      <c r="F18" s="104"/>
    </row>
    <row r="19" spans="1:10" x14ac:dyDescent="0.45">
      <c r="A19" s="88" t="s">
        <v>118</v>
      </c>
      <c r="B19" s="104">
        <f>+B15*(100-B10)/100</f>
        <v>996.39212900050961</v>
      </c>
      <c r="C19" s="104">
        <f>+C15*(100-C10)/100</f>
        <v>-545448.53289299994</v>
      </c>
      <c r="D19" s="104">
        <f>+D15*(100-D10)/100</f>
        <v>-156.66058300008015</v>
      </c>
      <c r="E19" s="104">
        <f>+E15*(100-E10)/100</f>
        <v>0</v>
      </c>
      <c r="F19" s="104">
        <f>+F15*(100-F10)/100</f>
        <v>19601.641499999998</v>
      </c>
      <c r="G19" s="117">
        <f>+SUM(B19:F19)</f>
        <v>-525007.15984699945</v>
      </c>
    </row>
    <row r="20" spans="1:10" x14ac:dyDescent="0.45">
      <c r="C20" s="104"/>
      <c r="D20" s="104"/>
      <c r="E20" s="104"/>
      <c r="F20" s="104"/>
    </row>
    <row r="21" spans="1:10" x14ac:dyDescent="0.45">
      <c r="C21" s="104"/>
      <c r="D21" s="104"/>
      <c r="E21" s="104"/>
      <c r="F21" s="104"/>
    </row>
    <row r="22" spans="1:10" x14ac:dyDescent="0.45">
      <c r="A22" s="111" t="s">
        <v>125</v>
      </c>
      <c r="B22" s="104">
        <f>+B15+B8+B9</f>
        <v>14746952.559999999</v>
      </c>
      <c r="C22" s="104">
        <f>+C15+C8+C9</f>
        <v>-2753270.6799999997</v>
      </c>
      <c r="D22" s="104">
        <f>+D15+D8+D9</f>
        <v>22755372.830000002</v>
      </c>
      <c r="E22" s="104">
        <f>+E15+E8+E9</f>
        <v>1183135.1399999999</v>
      </c>
      <c r="F22" s="104">
        <f>+F15+F8+F9</f>
        <v>8870003.3499999996</v>
      </c>
    </row>
    <row r="23" spans="1:10" x14ac:dyDescent="0.45">
      <c r="A23" s="88" t="s">
        <v>126</v>
      </c>
      <c r="B23" s="104">
        <f>+B22*(100-B10)/100</f>
        <v>1474.6952560007544</v>
      </c>
      <c r="C23" s="104">
        <f>+C22*(100-C10)/100</f>
        <v>-1376910.667068</v>
      </c>
      <c r="D23" s="104">
        <f>+D22*(100-D10)/100</f>
        <v>2275.5372830011643</v>
      </c>
      <c r="E23" s="104">
        <f>+E22*(100-E10)/100</f>
        <v>0</v>
      </c>
      <c r="F23" s="104">
        <f>+F22*(100-F10)/100</f>
        <v>4346301.6414999999</v>
      </c>
      <c r="G23" s="117">
        <f>+SUM(B23:F23)</f>
        <v>2973141.2069710018</v>
      </c>
    </row>
    <row r="24" spans="1:10" x14ac:dyDescent="0.45">
      <c r="A24" s="88" t="s">
        <v>127</v>
      </c>
      <c r="C24" s="104"/>
      <c r="D24" s="104"/>
      <c r="E24" s="104"/>
      <c r="F24" s="104">
        <v>-4274821.25</v>
      </c>
      <c r="G24" s="117">
        <f>+SUM(B24:F24)</f>
        <v>-4274821.25</v>
      </c>
    </row>
    <row r="25" spans="1:10" x14ac:dyDescent="0.45">
      <c r="C25" s="104"/>
      <c r="D25" s="104"/>
      <c r="E25" s="104"/>
      <c r="F25" s="104"/>
      <c r="G25" s="117"/>
    </row>
    <row r="26" spans="1:10" x14ac:dyDescent="0.45">
      <c r="C26" s="104"/>
      <c r="D26" s="104"/>
      <c r="E26" s="104"/>
      <c r="F26" s="104"/>
      <c r="G26" s="117"/>
    </row>
    <row r="27" spans="1:10" ht="21.75" thickBot="1" x14ac:dyDescent="0.5">
      <c r="C27" s="104"/>
      <c r="D27" s="104"/>
      <c r="E27" s="104"/>
      <c r="F27" s="104"/>
      <c r="G27" s="118">
        <f>SUM(G23:G26)</f>
        <v>-1301680.0430289982</v>
      </c>
    </row>
    <row r="28" spans="1:10" ht="21.75" thickTop="1" x14ac:dyDescent="0.45">
      <c r="C28" s="89"/>
    </row>
    <row r="29" spans="1:10" x14ac:dyDescent="0.45">
      <c r="A29" s="119" t="s">
        <v>34</v>
      </c>
      <c r="B29" s="89"/>
      <c r="G29" s="84">
        <v>-2135652.63</v>
      </c>
    </row>
    <row r="30" spans="1:10" x14ac:dyDescent="0.45">
      <c r="A30" s="88" t="s">
        <v>101</v>
      </c>
      <c r="B30" s="89"/>
      <c r="G30" s="84">
        <f>+G29-G27</f>
        <v>-833972.5869710017</v>
      </c>
    </row>
    <row r="31" spans="1:10" x14ac:dyDescent="0.45">
      <c r="A31" s="88" t="s">
        <v>106</v>
      </c>
      <c r="B31" s="89"/>
      <c r="C31" s="89">
        <f>23544963.08-13000</f>
        <v>23531963.079999998</v>
      </c>
      <c r="E31" s="89"/>
      <c r="F31" s="89"/>
      <c r="G31" s="89"/>
      <c r="H31" s="120"/>
      <c r="I31" s="89"/>
      <c r="J31" s="89"/>
    </row>
    <row r="32" spans="1:10" x14ac:dyDescent="0.45">
      <c r="A32" s="88" t="s">
        <v>107</v>
      </c>
      <c r="B32" s="89"/>
      <c r="D32" s="89">
        <f>+C31</f>
        <v>23531963.079999998</v>
      </c>
      <c r="G32" s="84">
        <v>78400</v>
      </c>
      <c r="H32" s="106"/>
    </row>
    <row r="33" spans="1:8" x14ac:dyDescent="0.45">
      <c r="G33" s="84">
        <v>-615.72</v>
      </c>
    </row>
    <row r="34" spans="1:8" x14ac:dyDescent="0.45">
      <c r="G34" s="84">
        <v>781963.74</v>
      </c>
    </row>
    <row r="35" spans="1:8" x14ac:dyDescent="0.45">
      <c r="A35" s="88" t="s">
        <v>102</v>
      </c>
      <c r="G35" s="84">
        <f>SUM(G32:G34)</f>
        <v>859748.02</v>
      </c>
    </row>
    <row r="36" spans="1:8" x14ac:dyDescent="0.45">
      <c r="A36" s="88" t="s">
        <v>104</v>
      </c>
      <c r="C36" s="84">
        <v>22681399.34</v>
      </c>
    </row>
    <row r="37" spans="1:8" x14ac:dyDescent="0.45">
      <c r="A37" s="88" t="s">
        <v>105</v>
      </c>
      <c r="D37" s="89">
        <f>+C36</f>
        <v>22681399.34</v>
      </c>
    </row>
    <row r="39" spans="1:8" x14ac:dyDescent="0.45">
      <c r="A39" s="88" t="s">
        <v>120</v>
      </c>
    </row>
    <row r="40" spans="1:8" x14ac:dyDescent="0.45">
      <c r="A40" s="88" t="s">
        <v>121</v>
      </c>
      <c r="C40" s="84">
        <v>1662591.75</v>
      </c>
    </row>
    <row r="41" spans="1:8" x14ac:dyDescent="0.45">
      <c r="A41" s="88" t="s">
        <v>122</v>
      </c>
      <c r="B41" s="89"/>
      <c r="D41" s="89">
        <f>+++++++C40</f>
        <v>1662591.75</v>
      </c>
    </row>
    <row r="42" spans="1:8" x14ac:dyDescent="0.45">
      <c r="B42" s="89"/>
    </row>
    <row r="43" spans="1:8" x14ac:dyDescent="0.45">
      <c r="B43" s="89"/>
    </row>
    <row r="44" spans="1:8" x14ac:dyDescent="0.45">
      <c r="A44" s="119" t="s">
        <v>33</v>
      </c>
      <c r="B44" s="89"/>
    </row>
    <row r="45" spans="1:8" x14ac:dyDescent="0.45">
      <c r="A45" s="88" t="s">
        <v>103</v>
      </c>
      <c r="B45" s="89"/>
      <c r="C45" s="84">
        <f>+G16+G17</f>
        <v>8142782.1798469992</v>
      </c>
    </row>
    <row r="46" spans="1:8" x14ac:dyDescent="0.45">
      <c r="A46" s="88" t="s">
        <v>100</v>
      </c>
      <c r="B46" s="89"/>
    </row>
    <row r="47" spans="1:8" x14ac:dyDescent="0.45">
      <c r="A47" s="88" t="s">
        <v>99</v>
      </c>
      <c r="B47" s="89"/>
      <c r="H47" s="106"/>
    </row>
    <row r="48" spans="1:8" x14ac:dyDescent="0.45">
      <c r="B48" s="89"/>
    </row>
    <row r="49" spans="1:10" x14ac:dyDescent="0.45">
      <c r="B49" s="89"/>
    </row>
    <row r="50" spans="1:10" x14ac:dyDescent="0.45">
      <c r="B50" s="89"/>
    </row>
    <row r="51" spans="1:10" x14ac:dyDescent="0.45">
      <c r="B51" s="89"/>
      <c r="C51" s="89"/>
      <c r="E51" s="89"/>
      <c r="F51" s="89"/>
      <c r="G51" s="89"/>
      <c r="I51" s="89"/>
      <c r="J51" s="89"/>
    </row>
    <row r="52" spans="1:10" x14ac:dyDescent="0.45">
      <c r="B52" s="89"/>
    </row>
    <row r="53" spans="1:10" x14ac:dyDescent="0.45">
      <c r="B53" s="84"/>
    </row>
    <row r="54" spans="1:10" x14ac:dyDescent="0.45">
      <c r="B54" s="89"/>
    </row>
    <row r="55" spans="1:10" x14ac:dyDescent="0.45">
      <c r="B55" s="89"/>
      <c r="C55" s="89"/>
      <c r="E55" s="89"/>
      <c r="F55" s="89"/>
      <c r="G55" s="89"/>
      <c r="J55" s="89"/>
    </row>
    <row r="56" spans="1:10" x14ac:dyDescent="0.45">
      <c r="B56" s="89"/>
      <c r="C56" s="89"/>
      <c r="E56" s="89"/>
      <c r="F56" s="89"/>
      <c r="G56" s="89"/>
      <c r="J56" s="89"/>
    </row>
    <row r="57" spans="1:10" x14ac:dyDescent="0.45">
      <c r="B57" s="89"/>
    </row>
    <row r="58" spans="1:10" x14ac:dyDescent="0.45">
      <c r="A58" s="121"/>
      <c r="B58" s="89"/>
      <c r="H58" s="106"/>
    </row>
    <row r="59" spans="1:10" x14ac:dyDescent="0.45">
      <c r="A59" s="122"/>
      <c r="B59" s="89"/>
    </row>
    <row r="60" spans="1:10" x14ac:dyDescent="0.45">
      <c r="A60" s="122"/>
      <c r="B60" s="89"/>
    </row>
    <row r="61" spans="1:10" x14ac:dyDescent="0.45">
      <c r="A61" s="122"/>
      <c r="B61" s="89"/>
    </row>
    <row r="62" spans="1:10" x14ac:dyDescent="0.45">
      <c r="B62" s="89"/>
    </row>
    <row r="63" spans="1:10" x14ac:dyDescent="0.45">
      <c r="B63" s="123"/>
    </row>
    <row r="64" spans="1:10" x14ac:dyDescent="0.45">
      <c r="B64" s="89"/>
    </row>
    <row r="65" spans="1:10" x14ac:dyDescent="0.45">
      <c r="B65" s="89"/>
      <c r="C65" s="89"/>
      <c r="E65" s="89"/>
      <c r="F65" s="89"/>
      <c r="G65" s="89"/>
      <c r="J65" s="89"/>
    </row>
    <row r="66" spans="1:10" x14ac:dyDescent="0.45">
      <c r="B66" s="89"/>
      <c r="C66" s="89"/>
      <c r="E66" s="89"/>
      <c r="F66" s="89"/>
      <c r="G66" s="89"/>
    </row>
    <row r="67" spans="1:10" x14ac:dyDescent="0.45">
      <c r="B67" s="89"/>
      <c r="C67" s="89"/>
      <c r="E67" s="89"/>
      <c r="F67" s="89"/>
      <c r="G67" s="89"/>
      <c r="J67" s="89"/>
    </row>
    <row r="68" spans="1:10" x14ac:dyDescent="0.45">
      <c r="B68" s="89"/>
      <c r="C68" s="89"/>
      <c r="E68" s="89"/>
      <c r="F68" s="89"/>
      <c r="G68" s="89"/>
      <c r="J68" s="89"/>
    </row>
    <row r="69" spans="1:10" x14ac:dyDescent="0.45">
      <c r="B69" s="89"/>
    </row>
    <row r="70" spans="1:10" x14ac:dyDescent="0.45">
      <c r="B70" s="124"/>
      <c r="C70" s="124"/>
      <c r="D70" s="124"/>
      <c r="E70" s="124"/>
      <c r="F70" s="124"/>
      <c r="G70" s="124"/>
      <c r="H70" s="125"/>
      <c r="I70" s="126"/>
      <c r="J70" s="124"/>
    </row>
    <row r="71" spans="1:10" x14ac:dyDescent="0.45">
      <c r="A71" s="127"/>
      <c r="B71" s="127"/>
    </row>
    <row r="72" spans="1:10" x14ac:dyDescent="0.45">
      <c r="A72" s="128"/>
      <c r="B72" s="128"/>
    </row>
    <row r="73" spans="1:10" x14ac:dyDescent="0.45">
      <c r="A73" s="128"/>
      <c r="B73" s="128"/>
    </row>
    <row r="74" spans="1:10" ht="18" customHeight="1" x14ac:dyDescent="0.45">
      <c r="A74" s="128"/>
      <c r="B74" s="128"/>
    </row>
    <row r="75" spans="1:10" x14ac:dyDescent="0.45">
      <c r="B75" s="89"/>
    </row>
    <row r="76" spans="1:10" x14ac:dyDescent="0.45">
      <c r="B76" s="89"/>
      <c r="E76" s="89"/>
      <c r="F76" s="89"/>
      <c r="H76" s="106"/>
    </row>
    <row r="77" spans="1:10" x14ac:dyDescent="0.45">
      <c r="B77" s="89"/>
      <c r="E77" s="89"/>
      <c r="F77" s="89"/>
    </row>
    <row r="78" spans="1:10" x14ac:dyDescent="0.45">
      <c r="B78" s="89"/>
      <c r="E78" s="89"/>
      <c r="F78" s="89"/>
    </row>
    <row r="79" spans="1:10" x14ac:dyDescent="0.45">
      <c r="B79" s="89"/>
      <c r="E79" s="89"/>
      <c r="F79" s="89"/>
      <c r="H79" s="106"/>
    </row>
    <row r="80" spans="1:10" x14ac:dyDescent="0.45">
      <c r="B80" s="89"/>
      <c r="E80" s="89"/>
      <c r="F80" s="89"/>
    </row>
    <row r="81" spans="2:8" x14ac:dyDescent="0.45">
      <c r="B81" s="89"/>
      <c r="C81" s="89"/>
      <c r="E81" s="89"/>
      <c r="F81" s="89"/>
      <c r="G81" s="89"/>
    </row>
    <row r="82" spans="2:8" x14ac:dyDescent="0.45">
      <c r="B82" s="89"/>
      <c r="E82" s="89"/>
      <c r="F82" s="89"/>
      <c r="G82" s="89"/>
    </row>
    <row r="83" spans="2:8" x14ac:dyDescent="0.45">
      <c r="B83" s="89"/>
      <c r="C83" s="89"/>
      <c r="E83" s="89"/>
      <c r="F83" s="89"/>
    </row>
    <row r="84" spans="2:8" x14ac:dyDescent="0.45">
      <c r="B84" s="89"/>
      <c r="C84" s="89"/>
      <c r="E84" s="89"/>
      <c r="F84" s="89"/>
      <c r="H84" s="106"/>
    </row>
    <row r="85" spans="2:8" x14ac:dyDescent="0.45">
      <c r="B85" s="89"/>
      <c r="C85" s="89"/>
      <c r="E85" s="89"/>
      <c r="F85" s="89"/>
    </row>
    <row r="86" spans="2:8" x14ac:dyDescent="0.45">
      <c r="B86" s="89"/>
      <c r="C86" s="89"/>
      <c r="E86" s="89"/>
      <c r="F86" s="89"/>
    </row>
    <row r="87" spans="2:8" x14ac:dyDescent="0.45">
      <c r="B87" s="89"/>
      <c r="C87" s="89"/>
      <c r="E87" s="89"/>
      <c r="F87" s="89"/>
      <c r="G87" s="89"/>
    </row>
    <row r="88" spans="2:8" x14ac:dyDescent="0.45">
      <c r="B88" s="89"/>
      <c r="C88" s="89"/>
      <c r="E88" s="89"/>
      <c r="F88" s="89"/>
      <c r="G88" s="89"/>
    </row>
    <row r="89" spans="2:8" x14ac:dyDescent="0.45">
      <c r="B89" s="89"/>
      <c r="C89" s="89"/>
      <c r="E89" s="89"/>
      <c r="F89" s="89"/>
      <c r="G89" s="89"/>
    </row>
    <row r="90" spans="2:8" x14ac:dyDescent="0.45">
      <c r="B90" s="89"/>
      <c r="C90" s="89"/>
      <c r="E90" s="89"/>
      <c r="F90" s="89"/>
    </row>
    <row r="91" spans="2:8" x14ac:dyDescent="0.45">
      <c r="B91" s="123"/>
      <c r="C91" s="123"/>
      <c r="D91" s="123"/>
      <c r="E91" s="123"/>
      <c r="F91" s="123"/>
    </row>
    <row r="92" spans="2:8" x14ac:dyDescent="0.45">
      <c r="B92" s="127"/>
      <c r="C92" s="127"/>
      <c r="D92" s="127"/>
      <c r="E92" s="127"/>
      <c r="F92" s="127"/>
      <c r="G92" s="127"/>
    </row>
    <row r="93" spans="2:8" x14ac:dyDescent="0.45">
      <c r="B93" s="123"/>
      <c r="C93" s="123"/>
      <c r="D93" s="123"/>
      <c r="E93" s="123"/>
      <c r="F93" s="123"/>
      <c r="G93" s="123"/>
    </row>
    <row r="94" spans="2:8" x14ac:dyDescent="0.45">
      <c r="B94" s="89"/>
      <c r="C94" s="89"/>
      <c r="E94" s="89"/>
      <c r="F94" s="89"/>
      <c r="G94" s="89"/>
    </row>
    <row r="95" spans="2:8" ht="9.9499999999999993" customHeight="1" x14ac:dyDescent="0.45">
      <c r="B95" s="89"/>
      <c r="C95" s="89"/>
      <c r="E95" s="89"/>
      <c r="F95" s="89"/>
      <c r="G95" s="89"/>
    </row>
    <row r="96" spans="2:8" x14ac:dyDescent="0.45">
      <c r="B96" s="89"/>
    </row>
    <row r="97" spans="2:2" x14ac:dyDescent="0.45">
      <c r="B97" s="89"/>
    </row>
    <row r="98" spans="2:2" x14ac:dyDescent="0.45">
      <c r="B98" s="89"/>
    </row>
    <row r="99" spans="2:2" x14ac:dyDescent="0.45">
      <c r="B99" s="89"/>
    </row>
    <row r="100" spans="2:2" x14ac:dyDescent="0.45">
      <c r="B100" s="89"/>
    </row>
    <row r="101" spans="2:2" x14ac:dyDescent="0.45">
      <c r="B101" s="8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3" customWidth="1"/>
    <col min="3" max="3" width="36.7109375" style="3" customWidth="1"/>
    <col min="4" max="5" width="12.7109375" style="5" customWidth="1"/>
    <col min="6" max="6" width="12.7109375" style="1" customWidth="1"/>
    <col min="7" max="7" width="12.7109375" style="2" customWidth="1"/>
    <col min="8" max="10" width="12.7109375" style="1" customWidth="1"/>
    <col min="11" max="11" width="15.28515625" style="53" customWidth="1"/>
    <col min="12" max="13" width="12.7109375" style="1" customWidth="1"/>
    <col min="14" max="14" width="2.28515625" style="3" customWidth="1"/>
    <col min="15" max="16" width="12.7109375" style="3" customWidth="1"/>
    <col min="17" max="16384" width="9.140625" style="3"/>
  </cols>
  <sheetData>
    <row r="1" spans="1:15" x14ac:dyDescent="0.4">
      <c r="A1" s="46" t="s">
        <v>52</v>
      </c>
      <c r="B1" s="27"/>
      <c r="C1" s="27"/>
      <c r="D1" s="27"/>
      <c r="E1" s="27"/>
      <c r="G1" s="43"/>
      <c r="H1" s="44"/>
      <c r="I1" s="44"/>
    </row>
    <row r="2" spans="1:15" ht="21.75" customHeight="1" x14ac:dyDescent="0.4">
      <c r="A2" s="46" t="s">
        <v>70</v>
      </c>
      <c r="B2" s="27"/>
      <c r="C2" s="27"/>
      <c r="D2" s="27"/>
      <c r="E2" s="27"/>
    </row>
    <row r="3" spans="1:15" ht="21.75" customHeight="1" x14ac:dyDescent="0.4">
      <c r="A3" s="41" t="s">
        <v>69</v>
      </c>
      <c r="B3" s="27"/>
      <c r="C3" s="27"/>
      <c r="D3" s="27"/>
      <c r="E3" s="27"/>
      <c r="K3" s="207" t="s">
        <v>71</v>
      </c>
      <c r="L3" s="207"/>
    </row>
    <row r="4" spans="1:15" s="37" customFormat="1" ht="18" customHeight="1" x14ac:dyDescent="0.4">
      <c r="D4" s="47" t="s">
        <v>62</v>
      </c>
      <c r="E4" s="47" t="s">
        <v>63</v>
      </c>
      <c r="F4" s="49" t="s">
        <v>64</v>
      </c>
      <c r="G4" s="50" t="s">
        <v>65</v>
      </c>
      <c r="H4" s="49" t="s">
        <v>66</v>
      </c>
      <c r="I4" s="49" t="s">
        <v>67</v>
      </c>
      <c r="J4" s="49" t="s">
        <v>27</v>
      </c>
      <c r="K4" s="54" t="s">
        <v>72</v>
      </c>
      <c r="L4" s="51" t="s">
        <v>73</v>
      </c>
      <c r="M4" s="48" t="s">
        <v>33</v>
      </c>
    </row>
    <row r="5" spans="1:15" x14ac:dyDescent="0.4">
      <c r="A5" s="9" t="s">
        <v>8</v>
      </c>
      <c r="B5" s="9"/>
      <c r="C5" s="9"/>
      <c r="D5" s="11"/>
      <c r="E5" s="11"/>
    </row>
    <row r="6" spans="1:15" x14ac:dyDescent="0.4">
      <c r="A6" s="9"/>
      <c r="B6" s="9" t="s">
        <v>17</v>
      </c>
      <c r="C6" s="9"/>
      <c r="D6" s="5">
        <v>316767129.02999997</v>
      </c>
      <c r="E6" s="11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9"/>
      <c r="B7" s="9" t="s">
        <v>53</v>
      </c>
      <c r="C7" s="9"/>
      <c r="D7" s="5">
        <v>40216527.100000001</v>
      </c>
      <c r="E7" s="11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9"/>
      <c r="B8" s="9" t="s">
        <v>74</v>
      </c>
      <c r="C8" s="9"/>
      <c r="D8" s="11">
        <v>6241052.1100000003</v>
      </c>
      <c r="E8" s="11"/>
      <c r="H8" s="1">
        <v>0</v>
      </c>
      <c r="J8" s="1">
        <f t="shared" si="0"/>
        <v>6241052.1100000003</v>
      </c>
      <c r="K8" s="57" t="s">
        <v>84</v>
      </c>
      <c r="L8" s="1">
        <v>-4636052.1100000003</v>
      </c>
      <c r="M8" s="1">
        <f t="shared" si="1"/>
        <v>1605000</v>
      </c>
    </row>
    <row r="9" spans="1:15" x14ac:dyDescent="0.4">
      <c r="A9" s="9"/>
      <c r="B9" s="9" t="s">
        <v>75</v>
      </c>
      <c r="C9" s="9"/>
      <c r="D9" s="11">
        <v>5331982.99</v>
      </c>
      <c r="E9" s="11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9"/>
      <c r="B10" s="9" t="s">
        <v>113</v>
      </c>
      <c r="C10" s="9"/>
      <c r="D10" s="11"/>
      <c r="E10" s="11"/>
      <c r="H10" s="61">
        <f>4274821.25+348965</f>
        <v>4623786.25</v>
      </c>
      <c r="J10" s="1">
        <f t="shared" si="0"/>
        <v>4623786.25</v>
      </c>
      <c r="K10" s="53" t="s">
        <v>130</v>
      </c>
      <c r="L10" s="1">
        <v>-4274821.25</v>
      </c>
      <c r="M10" s="1">
        <f t="shared" si="1"/>
        <v>348965</v>
      </c>
    </row>
    <row r="11" spans="1:15" x14ac:dyDescent="0.4">
      <c r="A11" s="9"/>
      <c r="B11" s="9" t="s">
        <v>76</v>
      </c>
      <c r="C11" s="9"/>
      <c r="D11" s="11">
        <v>90000</v>
      </c>
      <c r="E11" s="11"/>
      <c r="H11" s="1">
        <v>0</v>
      </c>
      <c r="J11" s="1">
        <f t="shared" si="0"/>
        <v>90000</v>
      </c>
      <c r="K11" s="57" t="s">
        <v>85</v>
      </c>
      <c r="L11" s="1">
        <v>-90000</v>
      </c>
      <c r="M11" s="1">
        <f t="shared" si="1"/>
        <v>0</v>
      </c>
    </row>
    <row r="12" spans="1:15" x14ac:dyDescent="0.4">
      <c r="A12" s="9"/>
      <c r="B12" s="9" t="s">
        <v>77</v>
      </c>
      <c r="C12" s="9"/>
      <c r="D12" s="11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9"/>
      <c r="B13" s="9" t="s">
        <v>32</v>
      </c>
      <c r="C13" s="9"/>
      <c r="D13" s="11">
        <v>0</v>
      </c>
      <c r="E13" s="11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9"/>
      <c r="B14" s="9" t="s">
        <v>44</v>
      </c>
      <c r="C14" s="9"/>
      <c r="D14" s="11"/>
      <c r="E14" s="11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9"/>
      <c r="B15" s="9"/>
      <c r="C15" s="9" t="s">
        <v>1</v>
      </c>
      <c r="D15" s="11">
        <v>1345040.03</v>
      </c>
      <c r="E15" s="11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9"/>
      <c r="B16" s="9"/>
      <c r="C16" s="9" t="s">
        <v>28</v>
      </c>
      <c r="D16" s="11">
        <v>485562.25</v>
      </c>
      <c r="E16" s="11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9"/>
      <c r="B17" s="9"/>
      <c r="C17" s="9" t="s">
        <v>10</v>
      </c>
      <c r="D17" s="11"/>
      <c r="E17" s="11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9"/>
      <c r="B18" s="9"/>
      <c r="C18" s="9" t="s">
        <v>43</v>
      </c>
      <c r="D18" s="11">
        <f>529964.28-D16</f>
        <v>44402.030000000028</v>
      </c>
      <c r="E18" s="11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74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9"/>
      <c r="B19" s="9"/>
      <c r="C19" s="9" t="s">
        <v>18</v>
      </c>
      <c r="D19" s="16">
        <f t="shared" ref="D19:J19" si="2">SUM(D6:D18)</f>
        <v>370671695.53999996</v>
      </c>
      <c r="E19" s="16">
        <f t="shared" si="2"/>
        <v>19281423.650000002</v>
      </c>
      <c r="F19" s="16">
        <f t="shared" si="2"/>
        <v>109686.79999999999</v>
      </c>
      <c r="G19" s="16">
        <f t="shared" si="2"/>
        <v>72381.78</v>
      </c>
      <c r="H19" s="16">
        <f t="shared" si="2"/>
        <v>8758347.5</v>
      </c>
      <c r="I19" s="16">
        <f t="shared" si="2"/>
        <v>1144397.81</v>
      </c>
      <c r="J19" s="16">
        <f t="shared" si="2"/>
        <v>400037933.07999998</v>
      </c>
      <c r="K19" s="55"/>
      <c r="L19" s="17"/>
      <c r="M19" s="16">
        <f>SUM(M6:M18)</f>
        <v>391037675.44</v>
      </c>
    </row>
    <row r="20" spans="1:15" x14ac:dyDescent="0.4">
      <c r="A20" s="9" t="s">
        <v>45</v>
      </c>
      <c r="B20" s="9"/>
      <c r="C20" s="9"/>
      <c r="D20" s="11"/>
      <c r="E20" s="11"/>
      <c r="K20" s="57"/>
    </row>
    <row r="21" spans="1:15" x14ac:dyDescent="0.4">
      <c r="A21" s="9"/>
      <c r="B21" s="9" t="s">
        <v>54</v>
      </c>
      <c r="C21" s="9"/>
      <c r="D21" s="45">
        <v>56419678</v>
      </c>
      <c r="E21" s="11"/>
      <c r="H21" s="1">
        <v>0</v>
      </c>
      <c r="J21" s="1">
        <f t="shared" ref="J21:J27" si="3">+I21+H21+G21+F21+E21+D21</f>
        <v>56419678</v>
      </c>
      <c r="K21" s="57" t="s">
        <v>87</v>
      </c>
      <c r="L21" s="1">
        <v>-56419678</v>
      </c>
      <c r="M21" s="1">
        <f>+J21+L21</f>
        <v>0</v>
      </c>
    </row>
    <row r="22" spans="1:15" x14ac:dyDescent="0.4">
      <c r="A22" s="9"/>
      <c r="B22" s="9" t="s">
        <v>112</v>
      </c>
      <c r="C22" s="9"/>
      <c r="D22" s="45">
        <v>-22681399.34</v>
      </c>
      <c r="E22" s="11"/>
      <c r="J22" s="1">
        <f t="shared" si="3"/>
        <v>-22681399.34</v>
      </c>
      <c r="K22" s="57" t="s">
        <v>109</v>
      </c>
      <c r="L22" s="1">
        <v>22681399.34</v>
      </c>
      <c r="M22" s="1">
        <f>+J22+L22</f>
        <v>0</v>
      </c>
    </row>
    <row r="23" spans="1:15" x14ac:dyDescent="0.4">
      <c r="A23" s="9"/>
      <c r="B23" s="9" t="s">
        <v>55</v>
      </c>
      <c r="C23" s="9"/>
      <c r="D23" s="11">
        <v>5315259</v>
      </c>
      <c r="E23" s="11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9"/>
      <c r="B24" s="9" t="s">
        <v>81</v>
      </c>
      <c r="C24" s="9"/>
      <c r="D24" s="5">
        <v>4125330.22</v>
      </c>
      <c r="E24" s="11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9"/>
      <c r="B25" s="9" t="s">
        <v>46</v>
      </c>
      <c r="C25" s="9"/>
      <c r="D25" s="11"/>
      <c r="E25" s="11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9"/>
      <c r="B26" s="9"/>
      <c r="C26" s="9" t="s">
        <v>31</v>
      </c>
      <c r="D26" s="11">
        <f>1301692.81+0.01</f>
        <v>1301692.82</v>
      </c>
      <c r="E26" s="11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9"/>
      <c r="B27" s="9"/>
      <c r="C27" s="9" t="s">
        <v>80</v>
      </c>
      <c r="D27" s="5">
        <v>1494433.31</v>
      </c>
      <c r="E27" s="11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9"/>
      <c r="B28" s="9"/>
      <c r="C28" s="9" t="s">
        <v>19</v>
      </c>
      <c r="D28" s="16">
        <f t="shared" ref="D28:J28" si="4">SUM(D21:D27)</f>
        <v>45974994.009999998</v>
      </c>
      <c r="E28" s="16">
        <f t="shared" si="4"/>
        <v>456490.33999999997</v>
      </c>
      <c r="F28" s="16">
        <f t="shared" si="4"/>
        <v>137281.69</v>
      </c>
      <c r="G28" s="16">
        <f t="shared" si="4"/>
        <v>24900161.140000001</v>
      </c>
      <c r="H28" s="16">
        <f t="shared" si="4"/>
        <v>0</v>
      </c>
      <c r="I28" s="16">
        <f t="shared" si="4"/>
        <v>0</v>
      </c>
      <c r="J28" s="16">
        <f t="shared" si="4"/>
        <v>71468927.179999992</v>
      </c>
      <c r="M28" s="16">
        <f>SUM(M21:M27)</f>
        <v>37730648.520000003</v>
      </c>
    </row>
    <row r="29" spans="1:15" ht="18.75" thickBot="1" x14ac:dyDescent="0.45">
      <c r="A29" s="9" t="s">
        <v>47</v>
      </c>
      <c r="B29" s="9"/>
      <c r="C29" s="9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M29" s="19">
        <f>+M28+M19</f>
        <v>428768323.95999998</v>
      </c>
    </row>
    <row r="30" spans="1:15" ht="18.75" thickTop="1" x14ac:dyDescent="0.4">
      <c r="A30" s="9" t="s">
        <v>48</v>
      </c>
      <c r="B30" s="9"/>
      <c r="C30" s="9"/>
      <c r="D30" s="11"/>
      <c r="E30" s="11"/>
    </row>
    <row r="31" spans="1:15" x14ac:dyDescent="0.4">
      <c r="A31" s="9"/>
      <c r="B31" s="9" t="s">
        <v>78</v>
      </c>
      <c r="C31" s="9"/>
      <c r="D31" s="11"/>
      <c r="E31" s="11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9"/>
      <c r="B32" s="9" t="s">
        <v>82</v>
      </c>
      <c r="C32" s="9"/>
      <c r="D32" s="11"/>
      <c r="E32" s="67">
        <v>-85088.98</v>
      </c>
      <c r="F32" s="61">
        <v>-2456075.3199999998</v>
      </c>
      <c r="G32" s="68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9"/>
      <c r="B33" s="9" t="s">
        <v>83</v>
      </c>
      <c r="C33" s="9"/>
      <c r="D33" s="11"/>
      <c r="E33" s="11"/>
      <c r="J33" s="1">
        <f t="shared" si="6"/>
        <v>0</v>
      </c>
      <c r="M33" s="1">
        <f t="shared" si="1"/>
        <v>0</v>
      </c>
    </row>
    <row r="34" spans="1:15" x14ac:dyDescent="0.4">
      <c r="A34" s="9"/>
      <c r="B34" s="9" t="s">
        <v>49</v>
      </c>
      <c r="C34" s="9"/>
      <c r="D34" s="11"/>
      <c r="E34" s="11"/>
      <c r="J34" s="1">
        <f t="shared" si="6"/>
        <v>0</v>
      </c>
      <c r="M34" s="1">
        <f t="shared" si="1"/>
        <v>0</v>
      </c>
    </row>
    <row r="35" spans="1:15" x14ac:dyDescent="0.4">
      <c r="A35" s="9"/>
      <c r="B35" s="9"/>
      <c r="C35" s="9" t="s">
        <v>88</v>
      </c>
      <c r="D35" s="11">
        <v>-7229144</v>
      </c>
      <c r="E35" s="11"/>
      <c r="J35" s="1">
        <f t="shared" si="6"/>
        <v>-7229144</v>
      </c>
      <c r="M35" s="1">
        <f t="shared" si="1"/>
        <v>-7229144</v>
      </c>
    </row>
    <row r="36" spans="1:15" x14ac:dyDescent="0.4">
      <c r="A36" s="9"/>
      <c r="B36" s="9"/>
      <c r="C36" s="9" t="s">
        <v>11</v>
      </c>
      <c r="D36" s="11">
        <v>-2880868.96</v>
      </c>
      <c r="E36" s="11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7" t="s">
        <v>85</v>
      </c>
      <c r="L36" s="1">
        <v>90000</v>
      </c>
      <c r="M36" s="1">
        <f t="shared" si="1"/>
        <v>-4556657.59</v>
      </c>
    </row>
    <row r="37" spans="1:15" x14ac:dyDescent="0.4">
      <c r="A37" s="9"/>
      <c r="B37" s="9"/>
      <c r="C37" s="9" t="s">
        <v>26</v>
      </c>
      <c r="D37" s="11"/>
      <c r="E37" s="11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9"/>
      <c r="B38" s="9"/>
      <c r="C38" s="9" t="s">
        <v>12</v>
      </c>
      <c r="D38" s="11">
        <f>-13204842.35-0.01</f>
        <v>-13204842.359999999</v>
      </c>
      <c r="E38" s="11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9"/>
      <c r="B39" s="9"/>
      <c r="C39" s="9" t="s">
        <v>43</v>
      </c>
      <c r="D39" s="5">
        <v>-5637669.7599999998</v>
      </c>
      <c r="E39" s="11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9"/>
      <c r="B40" s="9"/>
      <c r="C40" s="9" t="s">
        <v>20</v>
      </c>
      <c r="D40" s="16">
        <f>SUM(D31:D39)</f>
        <v>-28952525.079999998</v>
      </c>
      <c r="E40" s="16">
        <f>SUM(E31:E39)</f>
        <v>-5692798.9299999997</v>
      </c>
      <c r="F40" s="16">
        <f t="shared" ref="F40:M40" si="7">SUM(F31:F39)</f>
        <v>-3000239.17</v>
      </c>
      <c r="G40" s="16">
        <f t="shared" si="7"/>
        <v>-2217170.09</v>
      </c>
      <c r="H40" s="16">
        <f t="shared" si="7"/>
        <v>0</v>
      </c>
      <c r="I40" s="16">
        <f t="shared" si="7"/>
        <v>0</v>
      </c>
      <c r="J40" s="16">
        <f t="shared" si="7"/>
        <v>-39862733.270000003</v>
      </c>
      <c r="L40" s="17"/>
      <c r="M40" s="16">
        <f t="shared" si="7"/>
        <v>-35136681.159999996</v>
      </c>
    </row>
    <row r="41" spans="1:15" x14ac:dyDescent="0.4">
      <c r="A41" s="9" t="s">
        <v>50</v>
      </c>
      <c r="B41" s="9"/>
      <c r="C41" s="9"/>
      <c r="D41" s="11"/>
      <c r="E41" s="11"/>
    </row>
    <row r="42" spans="1:15" x14ac:dyDescent="0.4">
      <c r="A42" s="9"/>
      <c r="B42" s="9" t="s">
        <v>0</v>
      </c>
      <c r="C42" s="9"/>
      <c r="D42" s="11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9"/>
      <c r="B43" s="9"/>
      <c r="C43" s="9" t="s">
        <v>43</v>
      </c>
      <c r="D43" s="45">
        <v>-1662591.75</v>
      </c>
      <c r="E43" s="11"/>
      <c r="H43" s="1">
        <v>0</v>
      </c>
      <c r="J43" s="1">
        <f>+I43+H43+G43+F43+E43+D43</f>
        <v>-1662591.75</v>
      </c>
      <c r="K43" s="57" t="s">
        <v>110</v>
      </c>
      <c r="L43" s="1">
        <v>1662591.75</v>
      </c>
      <c r="M43" s="61">
        <f t="shared" si="1"/>
        <v>0</v>
      </c>
    </row>
    <row r="44" spans="1:15" x14ac:dyDescent="0.4">
      <c r="A44" s="9"/>
      <c r="B44" s="9"/>
      <c r="C44" s="9" t="s">
        <v>21</v>
      </c>
      <c r="D44" s="16">
        <f t="shared" ref="D44:J44" si="8">SUM(D42:D43)</f>
        <v>-1662591.75</v>
      </c>
      <c r="E44" s="16">
        <f t="shared" si="8"/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I44" s="16">
        <f t="shared" si="8"/>
        <v>0</v>
      </c>
      <c r="J44" s="16">
        <f t="shared" si="8"/>
        <v>-1662591.75</v>
      </c>
      <c r="M44" s="16">
        <f>SUM(M42:M43)</f>
        <v>0</v>
      </c>
    </row>
    <row r="45" spans="1:15" ht="18.75" thickBot="1" x14ac:dyDescent="0.45">
      <c r="A45" s="9"/>
      <c r="B45" s="9"/>
      <c r="C45" s="9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M45" s="19">
        <f>+M44+M40</f>
        <v>-35136681.159999996</v>
      </c>
    </row>
    <row r="46" spans="1:15" ht="18.75" thickTop="1" x14ac:dyDescent="0.4">
      <c r="A46" s="9" t="s">
        <v>51</v>
      </c>
      <c r="B46" s="9"/>
      <c r="C46" s="9"/>
      <c r="D46" s="11"/>
      <c r="E46" s="11"/>
    </row>
    <row r="47" spans="1:15" x14ac:dyDescent="0.4">
      <c r="A47" s="9"/>
      <c r="B47" s="9" t="s">
        <v>68</v>
      </c>
      <c r="C47" s="39"/>
      <c r="D47" s="11">
        <v>-362267781.5</v>
      </c>
      <c r="E47" s="11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7" t="s">
        <v>87</v>
      </c>
      <c r="L47" s="1">
        <v>56419678</v>
      </c>
      <c r="M47" s="1">
        <f>+L47+J47+L48</f>
        <v>-362267781.5</v>
      </c>
    </row>
    <row r="48" spans="1:15" x14ac:dyDescent="0.4">
      <c r="A48" s="9"/>
      <c r="B48" s="9" t="s">
        <v>23</v>
      </c>
      <c r="C48" s="36"/>
      <c r="D48" s="11"/>
      <c r="E48" s="11"/>
      <c r="J48" s="1">
        <f t="shared" si="10"/>
        <v>0</v>
      </c>
      <c r="K48" s="57" t="s">
        <v>111</v>
      </c>
      <c r="L48" s="1">
        <f>425+5001000+4294+4326700+1179903</f>
        <v>10512322</v>
      </c>
    </row>
    <row r="49" spans="1:16" x14ac:dyDescent="0.4">
      <c r="A49" s="9"/>
      <c r="B49" s="9" t="s">
        <v>56</v>
      </c>
      <c r="C49" s="36"/>
      <c r="D49" s="11">
        <f>-28397546.2+67118444.17</f>
        <v>38720897.969999999</v>
      </c>
      <c r="E49" s="11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9"/>
      <c r="B50" s="9" t="s">
        <v>57</v>
      </c>
      <c r="C50" s="36"/>
      <c r="D50" s="11"/>
      <c r="E50" s="11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9"/>
      <c r="B51" s="9" t="s">
        <v>108</v>
      </c>
      <c r="C51" s="36"/>
      <c r="D51" s="45">
        <f>-22681399.34+23463363.08</f>
        <v>781963.73999999836</v>
      </c>
      <c r="E51" s="11"/>
      <c r="J51" s="1">
        <f t="shared" si="10"/>
        <v>781963.73999999836</v>
      </c>
      <c r="K51" s="64" t="s">
        <v>109</v>
      </c>
      <c r="L51" s="63">
        <f>-1250375-21431024.34</f>
        <v>-22681399.34</v>
      </c>
      <c r="M51" s="62">
        <f>+J51+L51+L52+L53</f>
        <v>0</v>
      </c>
    </row>
    <row r="52" spans="1:16" x14ac:dyDescent="0.4">
      <c r="A52" s="9"/>
      <c r="B52" s="9"/>
      <c r="C52" s="36"/>
      <c r="D52" s="11"/>
      <c r="E52" s="11"/>
      <c r="K52" s="69" t="s">
        <v>110</v>
      </c>
      <c r="L52" s="70"/>
    </row>
    <row r="53" spans="1:16" x14ac:dyDescent="0.4">
      <c r="A53" s="9"/>
      <c r="B53" s="9"/>
      <c r="C53" s="36"/>
      <c r="D53" s="11"/>
      <c r="E53" s="11"/>
      <c r="K53" s="65" t="s">
        <v>114</v>
      </c>
      <c r="L53" s="66">
        <v>21899435.600000001</v>
      </c>
    </row>
    <row r="54" spans="1:16" x14ac:dyDescent="0.4">
      <c r="A54" s="9"/>
      <c r="B54" s="9" t="s">
        <v>58</v>
      </c>
      <c r="C54" s="9"/>
      <c r="D54" s="11"/>
      <c r="E54" s="11"/>
      <c r="J54" s="1">
        <f t="shared" si="10"/>
        <v>0</v>
      </c>
      <c r="M54" s="1">
        <f t="shared" si="1"/>
        <v>0</v>
      </c>
    </row>
    <row r="55" spans="1:16" x14ac:dyDescent="0.4">
      <c r="A55" s="9"/>
      <c r="B55" s="9"/>
      <c r="C55" s="9" t="s">
        <v>35</v>
      </c>
      <c r="D55" s="12">
        <v>-2962180.66</v>
      </c>
      <c r="E55" s="12"/>
      <c r="J55" s="1">
        <f t="shared" si="10"/>
        <v>-2962180.66</v>
      </c>
      <c r="M55" s="1">
        <f t="shared" si="1"/>
        <v>-2962180.66</v>
      </c>
    </row>
    <row r="56" spans="1:16" x14ac:dyDescent="0.4">
      <c r="A56" s="9"/>
      <c r="B56" s="9"/>
      <c r="C56" s="9" t="s">
        <v>116</v>
      </c>
      <c r="D56" s="75">
        <f>+D89</f>
        <v>-4023039.7100000009</v>
      </c>
      <c r="E56" s="12">
        <f>+E89</f>
        <v>-9262083.7899999991</v>
      </c>
      <c r="F56" s="12">
        <f>+F89</f>
        <v>1090678.93</v>
      </c>
      <c r="G56" s="12">
        <f>+G89</f>
        <v>1566605.83</v>
      </c>
      <c r="H56" s="12">
        <f>H89</f>
        <v>-40003.350000000006</v>
      </c>
      <c r="I56" s="12">
        <f>+I89</f>
        <v>-271135.14</v>
      </c>
      <c r="J56" s="62">
        <f t="shared" si="10"/>
        <v>-10938977.23</v>
      </c>
      <c r="K56" s="53" t="s">
        <v>124</v>
      </c>
      <c r="L56" s="1">
        <f>+L89</f>
        <v>-525007.16</v>
      </c>
      <c r="M56" s="78">
        <f>+L56+J56</f>
        <v>-11463984.390000001</v>
      </c>
    </row>
    <row r="57" spans="1:16" x14ac:dyDescent="0.4">
      <c r="A57" s="9"/>
      <c r="B57" s="9"/>
      <c r="C57" s="9"/>
      <c r="D57" s="12"/>
      <c r="E57" s="12"/>
      <c r="F57" s="12"/>
      <c r="G57" s="12"/>
      <c r="H57" s="12"/>
      <c r="I57" s="58"/>
      <c r="K57" s="64" t="s">
        <v>114</v>
      </c>
      <c r="L57" s="59">
        <f>-(+E58+F58+G58+H58+I58)</f>
        <v>-29747581.820000004</v>
      </c>
    </row>
    <row r="58" spans="1:16" x14ac:dyDescent="0.4">
      <c r="A58" s="9"/>
      <c r="B58" s="9"/>
      <c r="C58" s="9" t="s">
        <v>115</v>
      </c>
      <c r="D58" s="76">
        <v>-56281432.560000002</v>
      </c>
      <c r="E58" s="23">
        <f>-533031.27</f>
        <v>-533031.27</v>
      </c>
      <c r="F58" s="48">
        <f>11662591.75</f>
        <v>11662591.75</v>
      </c>
      <c r="G58" s="52">
        <f>20184627.17-G56</f>
        <v>18618021.340000004</v>
      </c>
      <c r="H58" s="48">
        <v>0</v>
      </c>
      <c r="I58" s="48">
        <v>0</v>
      </c>
      <c r="J58" s="62">
        <f t="shared" si="10"/>
        <v>-26533850.739999998</v>
      </c>
      <c r="L58" s="31"/>
      <c r="M58" s="77">
        <f>+L58+J58+L57</f>
        <v>-56281432.560000002</v>
      </c>
    </row>
    <row r="59" spans="1:16" x14ac:dyDescent="0.4">
      <c r="A59" s="9"/>
      <c r="B59" s="9"/>
      <c r="C59" s="9" t="s">
        <v>36</v>
      </c>
      <c r="D59" s="11">
        <f>SUM(D47:D58)</f>
        <v>-386031572.71999997</v>
      </c>
      <c r="E59" s="11">
        <f t="shared" ref="E59:J59" si="11">SUM(E47:E58)</f>
        <v>-14045115.059999999</v>
      </c>
      <c r="F59" s="11">
        <f t="shared" si="11"/>
        <v>2753270.6799999997</v>
      </c>
      <c r="G59" s="11">
        <f t="shared" si="11"/>
        <v>-22755372.829999998</v>
      </c>
      <c r="H59" s="11">
        <f t="shared" si="11"/>
        <v>-8758347.5</v>
      </c>
      <c r="I59" s="11">
        <f t="shared" si="11"/>
        <v>-1144397.81</v>
      </c>
      <c r="J59" s="11">
        <f t="shared" si="11"/>
        <v>-429981535.24000001</v>
      </c>
      <c r="M59" s="11">
        <f>SUM(M47:M58)</f>
        <v>-394104087.95999998</v>
      </c>
    </row>
    <row r="60" spans="1:16" x14ac:dyDescent="0.4">
      <c r="A60" s="9"/>
      <c r="B60" s="9" t="s">
        <v>2</v>
      </c>
      <c r="C60" s="9"/>
      <c r="D60" s="17"/>
      <c r="E60" s="17"/>
      <c r="F60" s="17"/>
      <c r="G60" s="17"/>
      <c r="H60" s="17"/>
      <c r="I60" s="17"/>
      <c r="J60" s="17"/>
      <c r="K60" s="57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9"/>
      <c r="B61" s="9"/>
      <c r="C61" s="9"/>
      <c r="D61" s="23"/>
      <c r="E61" s="23"/>
      <c r="F61" s="23"/>
      <c r="G61" s="23"/>
      <c r="H61" s="23"/>
      <c r="I61" s="23"/>
      <c r="J61" s="23"/>
      <c r="K61" s="69" t="s">
        <v>117</v>
      </c>
      <c r="L61" s="1">
        <v>7848146.2199999997</v>
      </c>
    </row>
    <row r="62" spans="1:16" x14ac:dyDescent="0.4">
      <c r="A62" s="9"/>
      <c r="B62" s="9"/>
      <c r="C62" s="9"/>
      <c r="D62" s="17"/>
      <c r="E62" s="17"/>
      <c r="F62" s="17"/>
      <c r="G62" s="17"/>
      <c r="H62" s="17"/>
      <c r="I62" s="17"/>
      <c r="J62" s="17"/>
      <c r="K62" s="57" t="str">
        <f>+K43</f>
        <v>5)AJE ประมาณการชาดทุน</v>
      </c>
      <c r="L62" s="1">
        <f>-L43</f>
        <v>-1662591.75</v>
      </c>
    </row>
    <row r="63" spans="1:16" x14ac:dyDescent="0.4">
      <c r="A63" s="9"/>
      <c r="B63" s="9"/>
      <c r="C63" s="9"/>
      <c r="D63" s="17"/>
      <c r="E63" s="17"/>
      <c r="F63" s="17"/>
      <c r="G63" s="17"/>
      <c r="H63" s="17"/>
      <c r="I63" s="17"/>
      <c r="J63" s="17"/>
      <c r="K63" s="53" t="s">
        <v>130</v>
      </c>
      <c r="L63" s="1">
        <f>-L10</f>
        <v>4274821.25</v>
      </c>
    </row>
    <row r="64" spans="1:16" x14ac:dyDescent="0.4">
      <c r="A64" s="9"/>
      <c r="B64" s="9"/>
      <c r="C64" s="9"/>
      <c r="D64" s="17"/>
      <c r="E64" s="17"/>
      <c r="F64" s="17"/>
      <c r="G64" s="17"/>
      <c r="H64" s="17"/>
      <c r="I64" s="17"/>
      <c r="J64" s="17"/>
      <c r="K64" s="69"/>
      <c r="L64" s="1">
        <f>-L18</f>
        <v>-615.72</v>
      </c>
    </row>
    <row r="65" spans="1:15" x14ac:dyDescent="0.4">
      <c r="A65" s="9"/>
      <c r="B65" s="9"/>
      <c r="C65" s="9" t="s">
        <v>24</v>
      </c>
      <c r="D65" s="11">
        <f t="shared" ref="D65:J65" si="12">+D60+D59</f>
        <v>-386031572.71999997</v>
      </c>
      <c r="E65" s="11">
        <f t="shared" si="12"/>
        <v>-14045115.059999999</v>
      </c>
      <c r="F65" s="11">
        <f t="shared" si="12"/>
        <v>2753270.6799999997</v>
      </c>
      <c r="G65" s="11">
        <f t="shared" si="12"/>
        <v>-22755372.829999998</v>
      </c>
      <c r="H65" s="11">
        <f t="shared" si="12"/>
        <v>-8758347.5</v>
      </c>
      <c r="I65" s="11">
        <f t="shared" si="12"/>
        <v>-1144397.81</v>
      </c>
      <c r="J65" s="11">
        <f t="shared" si="12"/>
        <v>-429981535.24000001</v>
      </c>
      <c r="K65" s="60" t="s">
        <v>119</v>
      </c>
      <c r="L65" s="1">
        <f>-L88</f>
        <v>525007.16</v>
      </c>
      <c r="M65" s="11">
        <f>+M60+M59</f>
        <v>-393631642.79999995</v>
      </c>
    </row>
    <row r="66" spans="1:15" ht="18.75" thickBot="1" x14ac:dyDescent="0.45">
      <c r="A66" s="9" t="s">
        <v>38</v>
      </c>
      <c r="B66" s="9"/>
      <c r="C66" s="9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M66" s="19">
        <f>+M65+M45</f>
        <v>-428768323.95999992</v>
      </c>
    </row>
    <row r="67" spans="1:15" ht="18.75" thickTop="1" x14ac:dyDescent="0.4">
      <c r="A67" s="9"/>
      <c r="B67" s="9"/>
      <c r="C67" s="9"/>
      <c r="D67" s="17">
        <f t="shared" ref="D67:J67" si="14">+D66+D29</f>
        <v>0</v>
      </c>
      <c r="E67" s="40">
        <f t="shared" si="14"/>
        <v>0</v>
      </c>
      <c r="F67" s="40">
        <f t="shared" si="14"/>
        <v>-2.3283064365386963E-10</v>
      </c>
      <c r="G67" s="40">
        <f t="shared" si="14"/>
        <v>0</v>
      </c>
      <c r="H67" s="40">
        <f t="shared" si="14"/>
        <v>0</v>
      </c>
      <c r="I67" s="40">
        <f t="shared" si="14"/>
        <v>0</v>
      </c>
      <c r="J67" s="40">
        <f t="shared" si="14"/>
        <v>0</v>
      </c>
      <c r="K67" s="56" t="s">
        <v>79</v>
      </c>
      <c r="L67" s="42">
        <f>SUM(L6:L66)</f>
        <v>0</v>
      </c>
      <c r="M67" s="40">
        <f>+M66+M29</f>
        <v>0</v>
      </c>
    </row>
    <row r="68" spans="1:15" x14ac:dyDescent="0.4">
      <c r="A68" s="9"/>
      <c r="B68" s="9"/>
      <c r="C68" s="10"/>
      <c r="D68" s="10"/>
      <c r="E68" s="10"/>
    </row>
    <row r="69" spans="1:15" ht="18" customHeight="1" x14ac:dyDescent="0.4">
      <c r="A69" s="46" t="s">
        <v>3</v>
      </c>
      <c r="B69" s="46"/>
      <c r="C69" s="46"/>
      <c r="D69" s="46"/>
      <c r="E69" s="46"/>
    </row>
    <row r="70" spans="1:15" x14ac:dyDescent="0.4">
      <c r="A70" s="9" t="s">
        <v>39</v>
      </c>
      <c r="B70" s="9"/>
      <c r="C70" s="9"/>
      <c r="D70" s="11"/>
      <c r="E70" s="11"/>
    </row>
    <row r="71" spans="1:15" x14ac:dyDescent="0.4">
      <c r="A71" s="9"/>
      <c r="B71" s="9" t="s">
        <v>59</v>
      </c>
      <c r="C71" s="9"/>
      <c r="D71" s="17">
        <v>-10893533.35</v>
      </c>
      <c r="E71" s="11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7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9"/>
      <c r="B72" s="9" t="s">
        <v>42</v>
      </c>
      <c r="C72" s="9"/>
      <c r="D72" s="11"/>
      <c r="E72" s="11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9"/>
      <c r="B73" s="9"/>
      <c r="C73" s="9" t="s">
        <v>13</v>
      </c>
      <c r="D73" s="17">
        <v>-2818284.07</v>
      </c>
      <c r="E73" s="11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9"/>
      <c r="B74" s="9"/>
      <c r="C74" s="9" t="s">
        <v>43</v>
      </c>
      <c r="D74" s="11">
        <v>-3426490.45</v>
      </c>
      <c r="E74" s="11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7"/>
      <c r="M74" s="1">
        <f t="shared" si="1"/>
        <v>-3490019.18</v>
      </c>
      <c r="O74" s="4">
        <f>3490019.18+M74</f>
        <v>0</v>
      </c>
    </row>
    <row r="75" spans="1:15" x14ac:dyDescent="0.4">
      <c r="A75" s="9"/>
      <c r="B75" s="9" t="s">
        <v>5</v>
      </c>
      <c r="C75" s="9"/>
      <c r="D75" s="11"/>
      <c r="E75" s="11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9"/>
      <c r="B76" s="9"/>
      <c r="C76" s="9" t="s">
        <v>14</v>
      </c>
      <c r="D76" s="16">
        <f t="shared" ref="D76:J76" si="15">SUM(D71:D75)</f>
        <v>-17138307.870000001</v>
      </c>
      <c r="E76" s="16">
        <f t="shared" si="15"/>
        <v>-15158110.43</v>
      </c>
      <c r="F76" s="16">
        <f t="shared" si="15"/>
        <v>0</v>
      </c>
      <c r="G76" s="16">
        <f t="shared" si="15"/>
        <v>0</v>
      </c>
      <c r="H76" s="16">
        <f t="shared" si="15"/>
        <v>-69007.570000000007</v>
      </c>
      <c r="I76" s="16">
        <f t="shared" si="15"/>
        <v>-300000.57</v>
      </c>
      <c r="J76" s="16">
        <f t="shared" si="15"/>
        <v>-32665426.440000001</v>
      </c>
      <c r="M76" s="16">
        <f>SUM(M71:M75)</f>
        <v>-31124152.73</v>
      </c>
      <c r="O76" s="4">
        <f>31124152.73+M76</f>
        <v>0</v>
      </c>
    </row>
    <row r="77" spans="1:15" x14ac:dyDescent="0.4">
      <c r="A77" s="9" t="s">
        <v>40</v>
      </c>
      <c r="B77" s="9"/>
      <c r="C77" s="9"/>
      <c r="D77" s="11"/>
      <c r="E77" s="11"/>
      <c r="H77" s="2"/>
      <c r="I77" s="2"/>
      <c r="J77" s="2"/>
      <c r="M77" s="1">
        <f t="shared" si="1"/>
        <v>0</v>
      </c>
    </row>
    <row r="78" spans="1:15" x14ac:dyDescent="0.4">
      <c r="A78" s="9"/>
      <c r="B78" s="9" t="s">
        <v>7</v>
      </c>
      <c r="C78" s="9"/>
      <c r="D78" s="11">
        <v>5248379.3499999996</v>
      </c>
      <c r="E78" s="11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9"/>
      <c r="B79" s="9" t="s">
        <v>25</v>
      </c>
      <c r="C79" s="9"/>
      <c r="D79" s="11">
        <v>7439667.2199999997</v>
      </c>
      <c r="E79" s="11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7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9"/>
      <c r="B80" s="9" t="s">
        <v>60</v>
      </c>
      <c r="C80" s="9"/>
      <c r="D80" s="11"/>
      <c r="E80" s="11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9"/>
      <c r="B81" s="9" t="s">
        <v>61</v>
      </c>
      <c r="C81" s="9"/>
      <c r="D81" s="11">
        <v>338000</v>
      </c>
      <c r="E81" s="11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73"/>
    </row>
    <row r="82" spans="1:15" x14ac:dyDescent="0.4">
      <c r="A82" s="9"/>
      <c r="B82" s="9"/>
      <c r="C82" s="9" t="s">
        <v>6</v>
      </c>
      <c r="D82" s="16">
        <f t="shared" ref="D82:J82" si="17">SUM(D78:D81)</f>
        <v>13026046.57</v>
      </c>
      <c r="E82" s="16">
        <f t="shared" si="17"/>
        <v>1926562.1600000001</v>
      </c>
      <c r="F82" s="16">
        <f t="shared" si="17"/>
        <v>1090678.93</v>
      </c>
      <c r="G82" s="16">
        <f t="shared" si="17"/>
        <v>1566605.83</v>
      </c>
      <c r="H82" s="16">
        <f t="shared" si="17"/>
        <v>29004.22</v>
      </c>
      <c r="I82" s="16">
        <f t="shared" si="17"/>
        <v>28865.43</v>
      </c>
      <c r="J82" s="16">
        <f t="shared" si="17"/>
        <v>17667763.140000001</v>
      </c>
      <c r="M82" s="71">
        <f>SUM(M78:M81)</f>
        <v>16126489.43</v>
      </c>
    </row>
    <row r="83" spans="1:15" x14ac:dyDescent="0.4">
      <c r="A83" s="9"/>
      <c r="B83" s="9"/>
      <c r="C83" s="9" t="s">
        <v>129</v>
      </c>
      <c r="D83" s="11"/>
      <c r="E83" s="79">
        <f>4270251.98-3969464.48</f>
        <v>300787.50000000047</v>
      </c>
      <c r="F83" s="11"/>
      <c r="G83" s="11"/>
      <c r="H83" s="11"/>
      <c r="I83" s="11"/>
      <c r="J83" s="11"/>
      <c r="M83" s="1">
        <f t="shared" si="16"/>
        <v>0</v>
      </c>
    </row>
    <row r="84" spans="1:15" x14ac:dyDescent="0.4">
      <c r="A84" s="9" t="s">
        <v>15</v>
      </c>
      <c r="B84" s="9"/>
      <c r="C84" s="9"/>
      <c r="D84" s="11">
        <f t="shared" ref="D84:J84" si="18">+D76+D82</f>
        <v>-4112261.3000000007</v>
      </c>
      <c r="E84" s="11">
        <f t="shared" si="18"/>
        <v>-13231548.27</v>
      </c>
      <c r="F84" s="11">
        <f t="shared" si="18"/>
        <v>1090678.93</v>
      </c>
      <c r="G84" s="11">
        <f t="shared" si="18"/>
        <v>1566605.83</v>
      </c>
      <c r="H84" s="11">
        <f t="shared" si="18"/>
        <v>-40003.350000000006</v>
      </c>
      <c r="I84" s="11">
        <f t="shared" si="18"/>
        <v>-271135.14</v>
      </c>
      <c r="J84" s="11">
        <f t="shared" si="18"/>
        <v>-14997663.300000001</v>
      </c>
      <c r="M84" s="1">
        <f t="shared" si="16"/>
        <v>-14997663.300000001</v>
      </c>
    </row>
    <row r="85" spans="1:15" x14ac:dyDescent="0.4">
      <c r="A85" s="9" t="s">
        <v>41</v>
      </c>
      <c r="B85" s="9"/>
      <c r="C85" s="9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9" t="s">
        <v>16</v>
      </c>
      <c r="B86" s="9"/>
      <c r="C86" s="9"/>
      <c r="D86" s="23">
        <v>89221.59</v>
      </c>
      <c r="E86" s="33">
        <f>4270251.98-300787.5</f>
        <v>3969464.4800000004</v>
      </c>
      <c r="F86" s="33">
        <v>0</v>
      </c>
      <c r="G86" s="33">
        <v>0</v>
      </c>
      <c r="H86" s="33">
        <v>0</v>
      </c>
      <c r="I86" s="33">
        <v>0</v>
      </c>
      <c r="J86" s="48">
        <f>+I86+H86+G86+F86+E86+D86</f>
        <v>4058686.0700000003</v>
      </c>
      <c r="M86" s="48">
        <f t="shared" si="16"/>
        <v>4058686.0700000003</v>
      </c>
    </row>
    <row r="87" spans="1:15" x14ac:dyDescent="0.4">
      <c r="A87" s="9" t="s">
        <v>29</v>
      </c>
      <c r="B87" s="9"/>
      <c r="C87" s="9"/>
      <c r="D87" s="10">
        <f>SUM(D84:D86)</f>
        <v>-4023039.7100000009</v>
      </c>
      <c r="E87" s="10">
        <f t="shared" ref="E87:J87" si="19">SUM(E84:E86)</f>
        <v>-9262083.7899999991</v>
      </c>
      <c r="F87" s="10">
        <f t="shared" si="19"/>
        <v>1090678.93</v>
      </c>
      <c r="G87" s="10">
        <f t="shared" si="19"/>
        <v>1566605.83</v>
      </c>
      <c r="H87" s="10">
        <f t="shared" si="19"/>
        <v>-40003.350000000006</v>
      </c>
      <c r="I87" s="10">
        <f t="shared" si="19"/>
        <v>-271135.14</v>
      </c>
      <c r="J87" s="10">
        <f t="shared" si="19"/>
        <v>-10938977.23</v>
      </c>
      <c r="M87" s="1">
        <f>SUM(M84:M86)</f>
        <v>-10938977.23</v>
      </c>
    </row>
    <row r="88" spans="1:15" x14ac:dyDescent="0.4">
      <c r="A88" s="9" t="s">
        <v>37</v>
      </c>
      <c r="B88" s="9"/>
      <c r="C88" s="9"/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57" t="s">
        <v>123</v>
      </c>
      <c r="L88" s="1">
        <v>-525007.16</v>
      </c>
      <c r="M88" s="48">
        <f t="shared" si="16"/>
        <v>-525007.16</v>
      </c>
    </row>
    <row r="89" spans="1:15" ht="18.75" thickBot="1" x14ac:dyDescent="0.45">
      <c r="A89" s="9" t="s">
        <v>30</v>
      </c>
      <c r="B89" s="9"/>
      <c r="C89" s="9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L89" s="1">
        <f>+SUM(L71:L88)</f>
        <v>-525007.16</v>
      </c>
      <c r="M89" s="72">
        <f>SUM(M87:M88)</f>
        <v>-11463984.390000001</v>
      </c>
    </row>
    <row r="90" spans="1:15" ht="9.9499999999999993" customHeight="1" thickTop="1" x14ac:dyDescent="0.4">
      <c r="A90" s="9"/>
      <c r="B90" s="9"/>
      <c r="C90" s="9"/>
      <c r="D90" s="17"/>
      <c r="E90" s="17"/>
      <c r="F90" s="2"/>
      <c r="G90" s="17"/>
      <c r="H90" s="17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BS_Q2-66</vt:lpstr>
      <vt:lpstr>PL_Q2-66</vt:lpstr>
      <vt:lpstr>Changed-Conso</vt:lpstr>
      <vt:lpstr>Changed-Com</vt:lpstr>
      <vt:lpstr>CashFlow</vt:lpstr>
      <vt:lpstr>Equity</vt:lpstr>
      <vt:lpstr>Conso_Q150</vt:lpstr>
      <vt:lpstr>CashFlow!OLE_LINK3</vt:lpstr>
      <vt:lpstr>'BS_Q2-66'!Print_Area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'PL_Q2-66'!Print_Area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</cp:lastModifiedBy>
  <cp:lastPrinted>2023-07-25T02:03:37Z</cp:lastPrinted>
  <dcterms:created xsi:type="dcterms:W3CDTF">2003-04-30T06:44:25Z</dcterms:created>
  <dcterms:modified xsi:type="dcterms:W3CDTF">2023-08-08T03:08:15Z</dcterms:modified>
</cp:coreProperties>
</file>