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.M.T\YEAR 2023\Q3-2023\"/>
    </mc:Choice>
  </mc:AlternateContent>
  <xr:revisionPtr revIDLastSave="0" documentId="13_ncr:1_{6B974964-4405-4FAF-821C-F090474A9A75}" xr6:coauthVersionLast="47" xr6:coauthVersionMax="47" xr10:uidLastSave="{00000000-0000-0000-0000-000000000000}"/>
  <bookViews>
    <workbookView xWindow="-120" yWindow="-120" windowWidth="29040" windowHeight="15840" tabRatio="880" xr2:uid="{00000000-000D-0000-FFFF-FFFF00000000}"/>
  </bookViews>
  <sheets>
    <sheet name="BS_Q3-66" sheetId="50" r:id="rId1"/>
    <sheet name="PL_Q3-66" sheetId="58" r:id="rId2"/>
    <sheet name="Changed-Conso" sheetId="49" r:id="rId3"/>
    <sheet name="Changed-Com" sheetId="4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CashFlow!$A$147</definedName>
    <definedName name="_xlnm.Print_Area" localSheetId="0">'BS_Q3-66'!$A$1:$L$137</definedName>
    <definedName name="_xlnm.Print_Area" localSheetId="4">CashFlow!$A$1:$M$99</definedName>
    <definedName name="_xlnm.Print_Area" localSheetId="3">'Changed-Com'!$A$1:$X$44</definedName>
    <definedName name="_xlnm.Print_Area" localSheetId="2">'Changed-Conso'!$A$1:$Z$48</definedName>
    <definedName name="_xlnm.Print_Area" localSheetId="6">Conso_Q150!$A$1:$M$92</definedName>
    <definedName name="_xlnm.Print_Area" localSheetId="5">Equity!$A$1:$G$42</definedName>
    <definedName name="_xlnm.Print_Area" localSheetId="1">'PL_Q3-66'!$A$1:$L$202</definedName>
    <definedName name="_xlnm.Print_Titles" localSheetId="4">CashFlow!$1:$10</definedName>
    <definedName name="_xlnm.Print_Titles" localSheetId="6">Conso_Q150!$1:$4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0" i="48" l="1"/>
  <c r="X20" i="48" s="1"/>
  <c r="X19" i="48"/>
  <c r="X18" i="48"/>
  <c r="X17" i="48"/>
  <c r="T17" i="48"/>
  <c r="X16" i="48"/>
  <c r="X13" i="48"/>
  <c r="V21" i="49"/>
  <c r="Z21" i="49" s="1"/>
  <c r="T21" i="49"/>
  <c r="T20" i="49"/>
  <c r="V20" i="49" s="1"/>
  <c r="Z20" i="49" s="1"/>
  <c r="T19" i="49"/>
  <c r="V19" i="49" s="1"/>
  <c r="Z19" i="49" s="1"/>
  <c r="T18" i="49"/>
  <c r="V18" i="49" s="1"/>
  <c r="Z18" i="49" s="1"/>
  <c r="T15" i="49"/>
  <c r="V15" i="49" s="1"/>
  <c r="Z15" i="49" s="1"/>
  <c r="M73" i="47"/>
  <c r="M66" i="47"/>
  <c r="I73" i="47"/>
  <c r="I66" i="47"/>
  <c r="M10" i="47"/>
  <c r="L181" i="58"/>
  <c r="L175" i="58"/>
  <c r="H181" i="58"/>
  <c r="H175" i="58"/>
  <c r="H162" i="58"/>
  <c r="L129" i="58"/>
  <c r="L120" i="58"/>
  <c r="L109" i="58"/>
  <c r="L162" i="58" s="1"/>
  <c r="H129" i="58"/>
  <c r="H120" i="58"/>
  <c r="L81" i="58"/>
  <c r="L75" i="58"/>
  <c r="H81" i="58"/>
  <c r="H75" i="58"/>
  <c r="L29" i="58"/>
  <c r="L21" i="58"/>
  <c r="L8" i="58"/>
  <c r="H29" i="58"/>
  <c r="H21" i="58"/>
  <c r="T22" i="49"/>
  <c r="N22" i="49"/>
  <c r="L130" i="58" l="1"/>
  <c r="L132" i="58" s="1"/>
  <c r="L134" i="58" s="1"/>
  <c r="L137" i="58" s="1"/>
  <c r="L146" i="58" s="1"/>
  <c r="H130" i="58"/>
  <c r="H132" i="58" s="1"/>
  <c r="H134" i="58" s="1"/>
  <c r="H137" i="58" s="1"/>
  <c r="H146" i="58" s="1"/>
  <c r="L30" i="58"/>
  <c r="L32" i="58" s="1"/>
  <c r="L34" i="58" s="1"/>
  <c r="L37" i="58" s="1"/>
  <c r="L46" i="58" s="1"/>
  <c r="H30" i="58"/>
  <c r="H32" i="58" s="1"/>
  <c r="H34" i="58" s="1"/>
  <c r="V22" i="49"/>
  <c r="Z22" i="49" s="1"/>
  <c r="L139" i="58" l="1"/>
  <c r="L142" i="58"/>
  <c r="L164" i="58"/>
  <c r="L177" i="58" s="1"/>
  <c r="L180" i="58" s="1"/>
  <c r="L182" i="58" s="1"/>
  <c r="M12" i="47"/>
  <c r="M27" i="47" s="1"/>
  <c r="M44" i="47" s="1"/>
  <c r="M47" i="47" s="1"/>
  <c r="M75" i="47" s="1"/>
  <c r="M77" i="47" s="1"/>
  <c r="H142" i="58"/>
  <c r="H139" i="58"/>
  <c r="H164" i="58"/>
  <c r="H177" i="58" s="1"/>
  <c r="H180" i="58" s="1"/>
  <c r="H182" i="58" s="1"/>
  <c r="L42" i="58"/>
  <c r="L39" i="58"/>
  <c r="L64" i="58"/>
  <c r="L77" i="58" s="1"/>
  <c r="L80" i="58" s="1"/>
  <c r="L82" i="58" s="1"/>
  <c r="H37" i="58"/>
  <c r="H64" i="58"/>
  <c r="H77" i="58" s="1"/>
  <c r="H80" i="58" s="1"/>
  <c r="H82" i="58" s="1"/>
  <c r="I12" i="47"/>
  <c r="I27" i="47" s="1"/>
  <c r="I44" i="47" s="1"/>
  <c r="I47" i="47" s="1"/>
  <c r="I75" i="47" s="1"/>
  <c r="I77" i="47" s="1"/>
  <c r="N37" i="49"/>
  <c r="T37" i="49"/>
  <c r="V37" i="49" s="1"/>
  <c r="Z37" i="49" s="1"/>
  <c r="T34" i="48"/>
  <c r="X34" i="48" s="1"/>
  <c r="T34" i="49"/>
  <c r="V34" i="49" s="1"/>
  <c r="Z34" i="49" s="1"/>
  <c r="X31" i="48"/>
  <c r="H42" i="58" l="1"/>
  <c r="H39" i="58"/>
  <c r="H46" i="58"/>
  <c r="J181" i="58"/>
  <c r="F181" i="58"/>
  <c r="J175" i="58"/>
  <c r="F175" i="58"/>
  <c r="F162" i="58"/>
  <c r="F161" i="58"/>
  <c r="A157" i="58"/>
  <c r="A155" i="58"/>
  <c r="J129" i="58"/>
  <c r="F129" i="58"/>
  <c r="J120" i="58"/>
  <c r="F120" i="58"/>
  <c r="J109" i="58"/>
  <c r="J162" i="58" s="1"/>
  <c r="F75" i="58"/>
  <c r="R38" i="49"/>
  <c r="F130" i="58" l="1"/>
  <c r="F132" i="58" s="1"/>
  <c r="F134" i="58" s="1"/>
  <c r="F137" i="58" s="1"/>
  <c r="J130" i="58"/>
  <c r="J132" i="58" s="1"/>
  <c r="J134" i="58" s="1"/>
  <c r="J164" i="58" s="1"/>
  <c r="J177" i="58" s="1"/>
  <c r="J180" i="58" s="1"/>
  <c r="J182" i="58" s="1"/>
  <c r="F164" i="58" l="1"/>
  <c r="F177" i="58" s="1"/>
  <c r="F180" i="58" s="1"/>
  <c r="F182" i="58" s="1"/>
  <c r="J137" i="58"/>
  <c r="J146" i="58" s="1"/>
  <c r="F146" i="58"/>
  <c r="F139" i="58"/>
  <c r="F142" i="58"/>
  <c r="J142" i="58" l="1"/>
  <c r="J139" i="58"/>
  <c r="T35" i="49"/>
  <c r="V35" i="49" s="1"/>
  <c r="Z35" i="49" s="1"/>
  <c r="T33" i="49"/>
  <c r="V33" i="49" s="1"/>
  <c r="Z33" i="49" s="1"/>
  <c r="X32" i="48"/>
  <c r="X30" i="48"/>
  <c r="K10" i="47" l="1"/>
  <c r="V23" i="48"/>
  <c r="V25" i="48" s="1"/>
  <c r="R25" i="49"/>
  <c r="N25" i="49" s="1"/>
  <c r="P25" i="49"/>
  <c r="L62" i="58"/>
  <c r="J8" i="58"/>
  <c r="J62" i="58" s="1"/>
  <c r="L80" i="50"/>
  <c r="L74" i="50"/>
  <c r="H80" i="50"/>
  <c r="H74" i="50"/>
  <c r="H55" i="50"/>
  <c r="H100" i="50" s="1"/>
  <c r="L40" i="50"/>
  <c r="L28" i="50"/>
  <c r="L8" i="50"/>
  <c r="L55" i="50" s="1"/>
  <c r="L100" i="50" s="1"/>
  <c r="H40" i="50"/>
  <c r="H28" i="50"/>
  <c r="F21" i="58"/>
  <c r="F25" i="48"/>
  <c r="P38" i="49"/>
  <c r="X38" i="49"/>
  <c r="X43" i="49" s="1"/>
  <c r="F117" i="50" s="1"/>
  <c r="P40" i="49"/>
  <c r="A52" i="50"/>
  <c r="A97" i="50" s="1"/>
  <c r="J80" i="50"/>
  <c r="F80" i="50"/>
  <c r="H39" i="48"/>
  <c r="J110" i="50" s="1"/>
  <c r="H25" i="48"/>
  <c r="H43" i="49"/>
  <c r="F110" i="50" s="1"/>
  <c r="H28" i="49"/>
  <c r="H62" i="58"/>
  <c r="F62" i="58"/>
  <c r="H116" i="50"/>
  <c r="H118" i="50" s="1"/>
  <c r="T30" i="49"/>
  <c r="V30" i="49" s="1"/>
  <c r="X28" i="49"/>
  <c r="P23" i="49"/>
  <c r="T23" i="49" s="1"/>
  <c r="L28" i="49"/>
  <c r="J28" i="49"/>
  <c r="F28" i="49"/>
  <c r="D28" i="49"/>
  <c r="J75" i="58"/>
  <c r="V35" i="48" s="1"/>
  <c r="R40" i="49"/>
  <c r="X27" i="48"/>
  <c r="R25" i="48"/>
  <c r="P25" i="48"/>
  <c r="N25" i="48"/>
  <c r="L25" i="48"/>
  <c r="J25" i="48"/>
  <c r="D25" i="48"/>
  <c r="G73" i="47"/>
  <c r="K73" i="47"/>
  <c r="F61" i="58"/>
  <c r="J21" i="58"/>
  <c r="J29" i="58"/>
  <c r="K66" i="47"/>
  <c r="F29" i="58"/>
  <c r="X33" i="48"/>
  <c r="R39" i="48"/>
  <c r="J113" i="50" s="1"/>
  <c r="J74" i="50"/>
  <c r="J39" i="48"/>
  <c r="J111" i="50" s="1"/>
  <c r="F39" i="48"/>
  <c r="D39" i="48"/>
  <c r="J109" i="50" s="1"/>
  <c r="J43" i="49"/>
  <c r="F111" i="50" s="1"/>
  <c r="F43" i="49"/>
  <c r="L43" i="49"/>
  <c r="F113" i="50" s="1"/>
  <c r="AD43" i="49" s="1"/>
  <c r="D43" i="49"/>
  <c r="F109" i="50" s="1"/>
  <c r="L116" i="50"/>
  <c r="L118" i="50" s="1"/>
  <c r="G66" i="47"/>
  <c r="F81" i="58"/>
  <c r="A55" i="58"/>
  <c r="A57" i="58"/>
  <c r="J81" i="58"/>
  <c r="F74" i="50"/>
  <c r="T36" i="49"/>
  <c r="V36" i="49" s="1"/>
  <c r="Z36" i="49" s="1"/>
  <c r="J8" i="50"/>
  <c r="J55" i="50" s="1"/>
  <c r="J100" i="50" s="1"/>
  <c r="F55" i="50"/>
  <c r="F100" i="50" s="1"/>
  <c r="A4" i="48"/>
  <c r="J28" i="50"/>
  <c r="J40" i="50"/>
  <c r="J6" i="56"/>
  <c r="M6" i="56" s="1"/>
  <c r="J7" i="56"/>
  <c r="J8" i="56"/>
  <c r="M8" i="56" s="1"/>
  <c r="J9" i="56"/>
  <c r="M9" i="56" s="1"/>
  <c r="H10" i="56"/>
  <c r="H19" i="56"/>
  <c r="J11" i="56"/>
  <c r="M11" i="56" s="1"/>
  <c r="J12" i="56"/>
  <c r="M12" i="56" s="1"/>
  <c r="J13" i="56"/>
  <c r="M13" i="56" s="1"/>
  <c r="J14" i="56"/>
  <c r="M14" i="56"/>
  <c r="J15" i="56"/>
  <c r="M15" i="56" s="1"/>
  <c r="O15" i="56" s="1"/>
  <c r="E16" i="56"/>
  <c r="J16" i="56"/>
  <c r="M16" i="56" s="1"/>
  <c r="J17" i="56"/>
  <c r="M17" i="56" s="1"/>
  <c r="D18" i="56"/>
  <c r="D19" i="56" s="1"/>
  <c r="E18" i="56"/>
  <c r="F18" i="56"/>
  <c r="F19" i="56"/>
  <c r="F29" i="56" s="1"/>
  <c r="G18" i="56"/>
  <c r="G19" i="56" s="1"/>
  <c r="G29" i="56" s="1"/>
  <c r="I19" i="56"/>
  <c r="J21" i="56"/>
  <c r="M21" i="56" s="1"/>
  <c r="J22" i="56"/>
  <c r="J23" i="56"/>
  <c r="J24" i="56"/>
  <c r="M24" i="56" s="1"/>
  <c r="J25" i="56"/>
  <c r="M25" i="56"/>
  <c r="D26" i="56"/>
  <c r="J26" i="56" s="1"/>
  <c r="J27" i="56"/>
  <c r="M27" i="56" s="1"/>
  <c r="E28" i="56"/>
  <c r="F28" i="56"/>
  <c r="G28" i="56"/>
  <c r="H28" i="56"/>
  <c r="I28" i="56"/>
  <c r="I29" i="56" s="1"/>
  <c r="J31" i="56"/>
  <c r="M31" i="56" s="1"/>
  <c r="J32" i="56"/>
  <c r="M32" i="56" s="1"/>
  <c r="J33" i="56"/>
  <c r="M33" i="56" s="1"/>
  <c r="J34" i="56"/>
  <c r="M34" i="56" s="1"/>
  <c r="J35" i="56"/>
  <c r="M35" i="56" s="1"/>
  <c r="E36" i="56"/>
  <c r="F36" i="56"/>
  <c r="J37" i="56"/>
  <c r="M37" i="56"/>
  <c r="D38" i="56"/>
  <c r="D40" i="56" s="1"/>
  <c r="E38" i="56"/>
  <c r="J38" i="56" s="1"/>
  <c r="M38" i="56" s="1"/>
  <c r="E39" i="56"/>
  <c r="F39" i="56"/>
  <c r="G39" i="56"/>
  <c r="H40" i="56"/>
  <c r="I40" i="56"/>
  <c r="J42" i="56"/>
  <c r="M42" i="56" s="1"/>
  <c r="J43" i="56"/>
  <c r="M43" i="56" s="1"/>
  <c r="D44" i="56"/>
  <c r="E44" i="56"/>
  <c r="F44" i="56"/>
  <c r="G44" i="56"/>
  <c r="H44" i="56"/>
  <c r="H45" i="56" s="1"/>
  <c r="I44" i="56"/>
  <c r="I45" i="56" s="1"/>
  <c r="J47" i="56"/>
  <c r="L48" i="56"/>
  <c r="J48" i="56"/>
  <c r="D49" i="56"/>
  <c r="J49" i="56" s="1"/>
  <c r="M49" i="56" s="1"/>
  <c r="J50" i="56"/>
  <c r="M50" i="56" s="1"/>
  <c r="P50" i="56" s="1"/>
  <c r="D51" i="56"/>
  <c r="J51" i="56" s="1"/>
  <c r="L51" i="56"/>
  <c r="J54" i="56"/>
  <c r="M54" i="56"/>
  <c r="J55" i="56"/>
  <c r="M55" i="56"/>
  <c r="E58" i="56"/>
  <c r="F58" i="56"/>
  <c r="K62" i="56"/>
  <c r="L62" i="56"/>
  <c r="L63" i="56"/>
  <c r="L64" i="56"/>
  <c r="L65" i="56"/>
  <c r="J71" i="56"/>
  <c r="M71" i="56" s="1"/>
  <c r="O71" i="56" s="1"/>
  <c r="L71" i="56"/>
  <c r="J72" i="56"/>
  <c r="M72" i="56" s="1"/>
  <c r="J73" i="56"/>
  <c r="M73" i="56" s="1"/>
  <c r="O73" i="56" s="1"/>
  <c r="J74" i="56"/>
  <c r="M74" i="56"/>
  <c r="O74" i="56" s="1"/>
  <c r="J75" i="56"/>
  <c r="M75" i="56" s="1"/>
  <c r="D76" i="56"/>
  <c r="E76" i="56"/>
  <c r="F76" i="56"/>
  <c r="G76" i="56"/>
  <c r="H76" i="56"/>
  <c r="I76" i="56"/>
  <c r="M77" i="56"/>
  <c r="E78" i="56"/>
  <c r="J78" i="56" s="1"/>
  <c r="M78" i="56" s="1"/>
  <c r="O78" i="56" s="1"/>
  <c r="F79" i="56"/>
  <c r="F82" i="56" s="1"/>
  <c r="F84" i="56" s="1"/>
  <c r="F87" i="56" s="1"/>
  <c r="F89" i="56" s="1"/>
  <c r="F56" i="56" s="1"/>
  <c r="F59" i="56" s="1"/>
  <c r="F65" i="56" s="1"/>
  <c r="G79" i="56"/>
  <c r="G82" i="56" s="1"/>
  <c r="L79" i="56"/>
  <c r="J80" i="56"/>
  <c r="M80" i="56" s="1"/>
  <c r="J81" i="56"/>
  <c r="M81" i="56" s="1"/>
  <c r="D82" i="56"/>
  <c r="H82" i="56"/>
  <c r="H84" i="56"/>
  <c r="H87" i="56" s="1"/>
  <c r="H89" i="56" s="1"/>
  <c r="H56" i="56" s="1"/>
  <c r="H59" i="56" s="1"/>
  <c r="H65" i="56" s="1"/>
  <c r="I82" i="56"/>
  <c r="I84" i="56" s="1"/>
  <c r="I87" i="56" s="1"/>
  <c r="I89" i="56" s="1"/>
  <c r="I56" i="56" s="1"/>
  <c r="E83" i="56"/>
  <c r="M83" i="56"/>
  <c r="J85" i="56"/>
  <c r="M85" i="56"/>
  <c r="E86" i="56"/>
  <c r="J86" i="56" s="1"/>
  <c r="M86" i="56" s="1"/>
  <c r="M88" i="56"/>
  <c r="M90" i="56"/>
  <c r="M91" i="56"/>
  <c r="M92" i="56"/>
  <c r="E8" i="57"/>
  <c r="E11" i="57" s="1"/>
  <c r="F8" i="57"/>
  <c r="F22" i="57" s="1"/>
  <c r="F23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G16" i="57" s="1"/>
  <c r="E16" i="57"/>
  <c r="F16" i="57"/>
  <c r="C17" i="57"/>
  <c r="D17" i="57"/>
  <c r="B19" i="57"/>
  <c r="G19" i="57" s="1"/>
  <c r="C19" i="57"/>
  <c r="D19" i="57"/>
  <c r="E19" i="57"/>
  <c r="F19" i="57"/>
  <c r="B22" i="57"/>
  <c r="B23" i="57" s="1"/>
  <c r="C22" i="57"/>
  <c r="C23" i="57"/>
  <c r="D22" i="57"/>
  <c r="D23" i="57" s="1"/>
  <c r="G24" i="57"/>
  <c r="C31" i="57"/>
  <c r="D32" i="57" s="1"/>
  <c r="G35" i="57"/>
  <c r="D37" i="57"/>
  <c r="D41" i="57"/>
  <c r="A3" i="48"/>
  <c r="L39" i="48"/>
  <c r="N39" i="48"/>
  <c r="P39" i="48"/>
  <c r="F40" i="50"/>
  <c r="F28" i="50"/>
  <c r="F11" i="57"/>
  <c r="L60" i="56"/>
  <c r="M60" i="56" s="1"/>
  <c r="G40" i="56"/>
  <c r="G45" i="56" s="1"/>
  <c r="M7" i="56"/>
  <c r="J44" i="56"/>
  <c r="E22" i="57"/>
  <c r="E23" i="57" s="1"/>
  <c r="M23" i="56"/>
  <c r="J10" i="56"/>
  <c r="M10" i="56" s="1"/>
  <c r="M22" i="56"/>
  <c r="L89" i="56"/>
  <c r="L56" i="56" s="1"/>
  <c r="F40" i="56" l="1"/>
  <c r="E40" i="56"/>
  <c r="G84" i="56"/>
  <c r="G87" i="56" s="1"/>
  <c r="G89" i="56" s="1"/>
  <c r="G56" i="56" s="1"/>
  <c r="R28" i="49"/>
  <c r="D45" i="56"/>
  <c r="E79" i="56"/>
  <c r="E82" i="56" s="1"/>
  <c r="E84" i="56" s="1"/>
  <c r="E87" i="56" s="1"/>
  <c r="E89" i="56" s="1"/>
  <c r="E56" i="56" s="1"/>
  <c r="E59" i="56" s="1"/>
  <c r="E65" i="56" s="1"/>
  <c r="E66" i="56" s="1"/>
  <c r="E67" i="56" s="1"/>
  <c r="D84" i="56"/>
  <c r="D87" i="56" s="1"/>
  <c r="D89" i="56" s="1"/>
  <c r="D56" i="56" s="1"/>
  <c r="E19" i="56"/>
  <c r="E29" i="56" s="1"/>
  <c r="G12" i="57"/>
  <c r="G17" i="57"/>
  <c r="H29" i="56"/>
  <c r="T40" i="49"/>
  <c r="V37" i="48"/>
  <c r="T37" i="48" s="1"/>
  <c r="X37" i="48" s="1"/>
  <c r="T23" i="48"/>
  <c r="X23" i="48" s="1"/>
  <c r="J30" i="58"/>
  <c r="J32" i="58" s="1"/>
  <c r="J34" i="58" s="1"/>
  <c r="K12" i="47" s="1"/>
  <c r="K27" i="47" s="1"/>
  <c r="F30" i="58"/>
  <c r="F32" i="58" s="1"/>
  <c r="F34" i="58" s="1"/>
  <c r="F37" i="58" s="1"/>
  <c r="J41" i="50"/>
  <c r="F81" i="50"/>
  <c r="P43" i="49"/>
  <c r="N40" i="49"/>
  <c r="R43" i="49"/>
  <c r="T38" i="49"/>
  <c r="P28" i="49"/>
  <c r="L81" i="50"/>
  <c r="L119" i="50" s="1"/>
  <c r="J81" i="50"/>
  <c r="F41" i="50"/>
  <c r="L41" i="50"/>
  <c r="H41" i="50"/>
  <c r="E45" i="56"/>
  <c r="I102" i="47"/>
  <c r="M26" i="56"/>
  <c r="O26" i="56" s="1"/>
  <c r="J28" i="56"/>
  <c r="J39" i="56"/>
  <c r="M39" i="56" s="1"/>
  <c r="O39" i="56" s="1"/>
  <c r="T25" i="49"/>
  <c r="V25" i="49" s="1"/>
  <c r="Z25" i="49" s="1"/>
  <c r="J76" i="56"/>
  <c r="G14" i="57"/>
  <c r="F45" i="56"/>
  <c r="F66" i="56" s="1"/>
  <c r="F67" i="56" s="1"/>
  <c r="J36" i="56"/>
  <c r="D28" i="56"/>
  <c r="D29" i="56" s="1"/>
  <c r="J18" i="56"/>
  <c r="M47" i="56"/>
  <c r="H81" i="50"/>
  <c r="H119" i="50" s="1"/>
  <c r="C45" i="57"/>
  <c r="M76" i="56"/>
  <c r="O76" i="56" s="1"/>
  <c r="Z30" i="49"/>
  <c r="I59" i="56"/>
  <c r="I65" i="56" s="1"/>
  <c r="I66" i="56" s="1"/>
  <c r="I67" i="56" s="1"/>
  <c r="G58" i="56"/>
  <c r="G59" i="56" s="1"/>
  <c r="G65" i="56" s="1"/>
  <c r="G66" i="56" s="1"/>
  <c r="G67" i="56" s="1"/>
  <c r="M44" i="56"/>
  <c r="J40" i="56"/>
  <c r="J45" i="56" s="1"/>
  <c r="M36" i="56"/>
  <c r="G23" i="57"/>
  <c r="G27" i="57" s="1"/>
  <c r="G30" i="57" s="1"/>
  <c r="H66" i="56"/>
  <c r="H67" i="56" s="1"/>
  <c r="D59" i="56"/>
  <c r="D65" i="56" s="1"/>
  <c r="D66" i="56" s="1"/>
  <c r="D67" i="56" s="1"/>
  <c r="M51" i="56"/>
  <c r="T43" i="49" l="1"/>
  <c r="F115" i="50" s="1"/>
  <c r="V40" i="49"/>
  <c r="Z40" i="49" s="1"/>
  <c r="J79" i="56"/>
  <c r="M79" i="56" s="1"/>
  <c r="J56" i="56"/>
  <c r="M56" i="56" s="1"/>
  <c r="M28" i="56"/>
  <c r="M102" i="47"/>
  <c r="V39" i="48"/>
  <c r="K44" i="47"/>
  <c r="K47" i="47" s="1"/>
  <c r="K75" i="47" s="1"/>
  <c r="K77" i="47" s="1"/>
  <c r="K102" i="47" s="1"/>
  <c r="G12" i="47"/>
  <c r="G27" i="47" s="1"/>
  <c r="G44" i="47" s="1"/>
  <c r="G47" i="47" s="1"/>
  <c r="G75" i="47" s="1"/>
  <c r="G77" i="47" s="1"/>
  <c r="G102" i="47" s="1"/>
  <c r="F64" i="58"/>
  <c r="F77" i="58" s="1"/>
  <c r="F80" i="58" s="1"/>
  <c r="F82" i="58" s="1"/>
  <c r="J64" i="58"/>
  <c r="J77" i="58" s="1"/>
  <c r="J80" i="58" s="1"/>
  <c r="J82" i="58" s="1"/>
  <c r="J37" i="58"/>
  <c r="J42" i="58" s="1"/>
  <c r="T28" i="49"/>
  <c r="N23" i="49"/>
  <c r="V23" i="49" s="1"/>
  <c r="Z23" i="49" s="1"/>
  <c r="Z28" i="49" s="1"/>
  <c r="L138" i="50"/>
  <c r="H138" i="50"/>
  <c r="J82" i="56"/>
  <c r="J84" i="56" s="1"/>
  <c r="J87" i="56" s="1"/>
  <c r="J89" i="56" s="1"/>
  <c r="M18" i="56"/>
  <c r="J19" i="56"/>
  <c r="J29" i="56" s="1"/>
  <c r="M40" i="56"/>
  <c r="M45" i="56"/>
  <c r="F39" i="58"/>
  <c r="F42" i="58"/>
  <c r="F46" i="58"/>
  <c r="N38" i="49"/>
  <c r="L57" i="56"/>
  <c r="L67" i="56" s="1"/>
  <c r="J58" i="56"/>
  <c r="M84" i="56" l="1"/>
  <c r="M87" i="56" s="1"/>
  <c r="M89" i="56" s="1"/>
  <c r="O79" i="56"/>
  <c r="M82" i="56"/>
  <c r="T21" i="48"/>
  <c r="Y21" i="48" s="1"/>
  <c r="N28" i="49"/>
  <c r="J46" i="58"/>
  <c r="T35" i="48"/>
  <c r="T39" i="48" s="1"/>
  <c r="J114" i="50" s="1"/>
  <c r="J116" i="50" s="1"/>
  <c r="J118" i="50" s="1"/>
  <c r="J119" i="50" s="1"/>
  <c r="J39" i="58"/>
  <c r="AB23" i="49"/>
  <c r="V28" i="49"/>
  <c r="O18" i="56"/>
  <c r="M19" i="56"/>
  <c r="M29" i="56" s="1"/>
  <c r="V38" i="49"/>
  <c r="N43" i="49"/>
  <c r="M58" i="56"/>
  <c r="M59" i="56" s="1"/>
  <c r="M65" i="56" s="1"/>
  <c r="M66" i="56" s="1"/>
  <c r="M67" i="56" s="1"/>
  <c r="J59" i="56"/>
  <c r="J65" i="56" s="1"/>
  <c r="J66" i="56" s="1"/>
  <c r="J67" i="56" s="1"/>
  <c r="X21" i="48" l="1"/>
  <c r="X25" i="48" s="1"/>
  <c r="T25" i="48"/>
  <c r="Y35" i="48"/>
  <c r="X35" i="48"/>
  <c r="X39" i="48" s="1"/>
  <c r="Y39" i="48" s="1"/>
  <c r="Z38" i="49"/>
  <c r="Z43" i="49" s="1"/>
  <c r="V43" i="49"/>
  <c r="F114" i="50"/>
  <c r="F116" i="50" s="1"/>
  <c r="F118" i="50" s="1"/>
  <c r="F119" i="50" s="1"/>
  <c r="J138" i="50"/>
  <c r="F138" i="50" l="1"/>
  <c r="AC43" i="49"/>
  <c r="AB43" i="49"/>
  <c r="AB44" i="4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<sst xmlns="http://schemas.openxmlformats.org/spreadsheetml/2006/main" count="623" uniqueCount="396">
  <si>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</si>
  <si>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</si>
  <si>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</si>
  <si>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</si>
  <si>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</si>
  <si>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</si>
  <si>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</si>
  <si>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</si>
  <si>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</si>
  <si>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</si>
  <si>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</si>
  <si>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</si>
  <si>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</si>
  <si>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</si>
  <si>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</si>
  <si>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</si>
  <si>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</si>
  <si>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</si>
  <si>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</si>
  <si>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</si>
  <si>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</si>
  <si>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</si>
  <si>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</si>
  <si>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</si>
  <si>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</si>
  <si>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</si>
  <si>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</si>
  <si>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</si>
  <si>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</si>
  <si>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</si>
  <si>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</si>
  <si>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</si>
  <si>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</si>
  <si>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</si>
  <si>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</si>
  <si>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</si>
  <si>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</si>
  <si>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</si>
  <si>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</si>
  <si>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</si>
  <si>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</si>
  <si>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</si>
  <si>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</si>
  <si>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</si>
  <si>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</si>
  <si>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</si>
  <si>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</si>
  <si>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</si>
  <si>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</si>
  <si>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</si>
  <si>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</si>
  <si>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</si>
  <si>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</si>
  <si>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</si>
  <si>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</si>
  <si>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</si>
  <si>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</si>
  <si>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</si>
  <si>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</si>
  <si>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</si>
  <si>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</si>
  <si>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</si>
  <si>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</si>
  <si>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</si>
  <si>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</si>
  <si>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</si>
  <si>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</si>
  <si>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</si>
  <si>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</si>
  <si>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</si>
  <si>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</si>
  <si>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</si>
  <si>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</si>
  <si>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</si>
  <si>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</si>
  <si>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</si>
  <si>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</si>
  <si>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</si>
  <si>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</si>
  <si>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</si>
  <si>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</si>
  <si>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</si>
  <si>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</si>
  <si>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</si>
  <si>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</si>
  <si>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</si>
  <si>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</si>
  <si>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</si>
  <si>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</si>
  <si>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</si>
  <si>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</si>
  <si>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</si>
  <si>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</si>
  <si>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</si>
  <si>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</si>
  <si>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</si>
  <si>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</si>
  <si>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</si>
  <si>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</si>
  <si>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</si>
  <si>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</si>
  <si>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</si>
  <si>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</si>
  <si>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</si>
  <si>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</si>
  <si>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</si>
  <si>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</si>
  <si>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</si>
  <si>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</si>
  <si>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</si>
  <si>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</si>
  <si>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</si>
  <si>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</si>
  <si>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</si>
  <si>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</si>
  <si>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</si>
  <si>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</si>
  <si>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</si>
  <si>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</si>
  <si>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</si>
  <si>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</si>
  <si>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</si>
  <si>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</si>
  <si>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</si>
  <si>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</si>
  <si>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</si>
  <si>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</si>
  <si>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</si>
  <si>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</si>
  <si>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</si>
  <si>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</si>
  <si>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</si>
  <si>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</si>
  <si>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</si>
  <si>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</si>
  <si>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</si>
  <si>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</si>
  <si>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</si>
  <si>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</si>
  <si>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</si>
  <si>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</si>
  <si>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</si>
  <si>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</si>
  <si>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</si>
  <si>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</si>
  <si>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</si>
  <si>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</si>
  <si>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</si>
  <si>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</si>
  <si>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</si>
  <si>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</si>
  <si>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</si>
  <si>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</si>
  <si>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</si>
  <si>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</si>
  <si>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</si>
  <si>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</si>
  <si>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</si>
  <si>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</si>
  <si>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</si>
  <si>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</si>
  <si>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</si>
  <si>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</si>
  <si>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</si>
  <si>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</si>
  <si>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</si>
  <si>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</si>
  <si>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</si>
  <si>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</si>
  <si>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</si>
  <si>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</si>
  <si>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</si>
  <si>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</si>
  <si>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</si>
  <si>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</si>
  <si>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</si>
  <si>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</si>
  <si>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</si>
  <si>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</si>
  <si>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</si>
  <si>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</si>
  <si>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</si>
  <si>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</si>
  <si>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</si>
  <si>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</si>
  <si>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</si>
  <si>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</si>
  <si>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 xml:space="preserve">    Issued and paid up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</si>
  <si>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</si>
  <si>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</si>
  <si>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</si>
  <si>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</si>
  <si>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</si>
  <si>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</si>
  <si>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</si>
  <si>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</si>
  <si>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</si>
  <si>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</si>
  <si>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</si>
  <si>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</si>
  <si>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</si>
  <si>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</si>
  <si>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</si>
  <si>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</si>
  <si>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</si>
  <si>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</si>
  <si>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</si>
  <si>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</si>
  <si>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</si>
  <si>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Dividend income</t>
  </si>
  <si>
    <t>เงินสดคงเหลือสิ้นงวด =</t>
  </si>
  <si>
    <t>TEST  ต้อง = 0</t>
  </si>
  <si>
    <t>Retained earnings  (Deficit)</t>
  </si>
  <si>
    <t>Purchase of property, plant and equipments</t>
  </si>
  <si>
    <t>Note</t>
  </si>
  <si>
    <t>to equity holders</t>
  </si>
  <si>
    <t>of parent</t>
  </si>
  <si>
    <t>NON-CURRENT LIABILITIES</t>
  </si>
  <si>
    <t>TOTAL NON-CURRENT LIABILITIES</t>
  </si>
  <si>
    <t>TOTAL LIABILITIES</t>
  </si>
  <si>
    <t>Services income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</si>
  <si>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</si>
  <si>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</si>
  <si>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</si>
  <si>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</si>
  <si>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</si>
  <si>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</si>
  <si>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</si>
  <si>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</si>
  <si>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</si>
  <si>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</si>
  <si>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</si>
  <si>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</si>
  <si>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</si>
  <si>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</si>
  <si>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</si>
  <si>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</si>
  <si>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</si>
  <si>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Value  added tax - net</t>
  </si>
  <si>
    <t>BASIC EARNINGS PER SHARE</t>
  </si>
  <si>
    <t>DILUTED EARNINGS PER SHARE</t>
  </si>
  <si>
    <t>Interests</t>
  </si>
  <si>
    <t>Cost of services</t>
  </si>
  <si>
    <t>Net cash received from operation</t>
  </si>
  <si>
    <t xml:space="preserve">attributable </t>
  </si>
  <si>
    <t xml:space="preserve">Equity </t>
  </si>
  <si>
    <t>Profit (loss) before income tax</t>
  </si>
  <si>
    <t>STATEMENTS OF CHANGES IN SHAREHOLDERS' EQUITY</t>
  </si>
  <si>
    <t>Deferred tax assets</t>
  </si>
  <si>
    <t>Accounts payable - Trade</t>
  </si>
  <si>
    <t>Deferred tax liabilities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</si>
  <si>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</si>
  <si>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</si>
  <si>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</si>
  <si>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</si>
  <si>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</si>
  <si>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</si>
  <si>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 xml:space="preserve">   Appropriated to legal reserve</t>
  </si>
  <si>
    <t>The accompanying notes to financial statements are an integral part of these financial statements.</t>
  </si>
  <si>
    <t>Dividend paid by the Company</t>
  </si>
  <si>
    <t xml:space="preserve">  Cash Dividend paid</t>
  </si>
  <si>
    <t>Income tax expense</t>
  </si>
  <si>
    <t>Income tax expense of current year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</si>
  <si>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</si>
  <si>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</si>
  <si>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</si>
  <si>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</si>
  <si>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</si>
  <si>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</si>
  <si>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Investment Property</t>
  </si>
  <si>
    <t>Ordinary shares increased - exercise of warrants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</si>
  <si>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</si>
  <si>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</si>
  <si>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</si>
  <si>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</si>
  <si>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</si>
  <si>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</si>
  <si>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</si>
  <si>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</si>
  <si>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</si>
  <si>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</si>
  <si>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</si>
  <si>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</si>
  <si>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</si>
  <si>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</si>
  <si>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</si>
  <si>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</si>
  <si>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</si>
  <si>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</si>
  <si>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Short-term loan from financial institution, (increase) decrease</t>
  </si>
  <si>
    <t>Gain (loss) from</t>
  </si>
  <si>
    <t xml:space="preserve">estimate of </t>
  </si>
  <si>
    <t>actuarial</t>
  </si>
  <si>
    <t>assumptions</t>
  </si>
  <si>
    <t xml:space="preserve">   Cash dividend paid</t>
  </si>
  <si>
    <t>Dividend received from other company</t>
  </si>
  <si>
    <t>Gain on exchange rate</t>
  </si>
  <si>
    <t xml:space="preserve">   Total comprehensive income (loss) for the period</t>
  </si>
  <si>
    <t>The accompanying interim notes to financial statements are an integral part of these interim financial statements.</t>
  </si>
  <si>
    <t>Non-related parties</t>
  </si>
  <si>
    <t>Related  parties</t>
  </si>
  <si>
    <t>Trade accounts receivable - non-related parties</t>
  </si>
  <si>
    <t>Trade accounts receivable - related parties</t>
  </si>
  <si>
    <t>Trade accounts payable -non-related parties</t>
  </si>
  <si>
    <t>Trade accounts payable - related parties</t>
  </si>
  <si>
    <t>Investments in subsidiary companies</t>
  </si>
  <si>
    <t>Loan to related parties, (increase) decrease</t>
  </si>
  <si>
    <t>(Unaudited/</t>
  </si>
  <si>
    <t>(Audited)</t>
  </si>
  <si>
    <t>but Reviewed)</t>
  </si>
  <si>
    <t>(Unaudited / but reviewed)</t>
  </si>
  <si>
    <t>(Unaudited / but Reviewed)</t>
  </si>
  <si>
    <t>Share subscriptions received in advance</t>
  </si>
  <si>
    <t xml:space="preserve">   Ordinary shares increased - exercise of warrants</t>
  </si>
  <si>
    <t xml:space="preserve">   Share subscriptions received in advance</t>
  </si>
  <si>
    <t xml:space="preserve">  Ordinary shares increased - exercise of warrants</t>
  </si>
  <si>
    <t xml:space="preserve">  Share subscriptions received in advance</t>
  </si>
  <si>
    <t>Profit (loss) for the period</t>
  </si>
  <si>
    <t>Other comprehensive income (loss) for the period, net of tax</t>
  </si>
  <si>
    <t>Total comprehensive income (loss) for the period</t>
  </si>
  <si>
    <t>to profit or loss in subsequent period :</t>
  </si>
  <si>
    <t>Other current financial assets</t>
  </si>
  <si>
    <t>Other non-current financial assets</t>
  </si>
  <si>
    <t>Other non-current financial assets, decrease (increase)</t>
  </si>
  <si>
    <t>CASH AND CASH EQUIVALENTS, BEGINNING OF PERIOD</t>
  </si>
  <si>
    <t>CASH AND CASH EQUIVALENTS, END OF PERIOD</t>
  </si>
  <si>
    <t>Other current receivables</t>
  </si>
  <si>
    <t>Other current payables</t>
  </si>
  <si>
    <t>Non-current provision for employee benefit</t>
  </si>
  <si>
    <t>Other current receivables - non-related parties</t>
  </si>
  <si>
    <t>Other current receivables - related parties</t>
  </si>
  <si>
    <t>Other current payables- non-related parties</t>
  </si>
  <si>
    <t>Unrealized gain from measurement of other current financial assets</t>
  </si>
  <si>
    <t>Unrealized loss from measurement of other current financial assets</t>
  </si>
  <si>
    <t>Profit (loss) from operation</t>
  </si>
  <si>
    <t>Unrealized loss (gain) from measurement of other current financial assets</t>
  </si>
  <si>
    <t xml:space="preserve"> Total expenses</t>
  </si>
  <si>
    <t>Allowance for doubtful account</t>
  </si>
  <si>
    <t>Digatal asset inventory, (increase) decrease</t>
  </si>
  <si>
    <t>Reversal of allowance for doubtful accounts</t>
  </si>
  <si>
    <t>Loss on reduced value of inventory</t>
  </si>
  <si>
    <t>Loans from</t>
  </si>
  <si>
    <t>Loans to</t>
  </si>
  <si>
    <t>Income from digital assets inventory - net</t>
  </si>
  <si>
    <t>Loss on sales of other current financial assets</t>
  </si>
  <si>
    <t>Gain on sales of other current financial assets</t>
  </si>
  <si>
    <t>Decrease in Trade accounts receivable - related parties</t>
  </si>
  <si>
    <t>Increase in Loan to non-related parties</t>
  </si>
  <si>
    <t>Beginning balance as at January 1, 2022</t>
  </si>
  <si>
    <t xml:space="preserve">   Ordinary shares increased - stock dividend</t>
  </si>
  <si>
    <t xml:space="preserve">  Ordinary shares increased - stock dividend</t>
  </si>
  <si>
    <t>12 , 13</t>
  </si>
  <si>
    <t>8.4</t>
  </si>
  <si>
    <t>5 , 7</t>
  </si>
  <si>
    <t>7 , 11</t>
  </si>
  <si>
    <t>- Ordinary share 13,098,802,641  shares in year 2022</t>
  </si>
  <si>
    <t>9</t>
  </si>
  <si>
    <t>Impairment on investment in subsidiaries</t>
  </si>
  <si>
    <t>Dividends paid to non-controlling interests</t>
  </si>
  <si>
    <t>6</t>
  </si>
  <si>
    <t>For the nine-month period ended September 30</t>
  </si>
  <si>
    <t>For the three-month period ended September 30</t>
  </si>
  <si>
    <t>Reversal of loss on reduced value of inventory</t>
  </si>
  <si>
    <t>Ending balance as at  September 30, 2022</t>
  </si>
  <si>
    <t>Ending balance as at September 30, 2022</t>
  </si>
  <si>
    <t xml:space="preserve">  Appropriated to legal reserve</t>
  </si>
  <si>
    <t>Liabilities under financial lease contract</t>
  </si>
  <si>
    <t>Current portion - Liabilities under financial lease contract</t>
  </si>
  <si>
    <t>Rignt of use assets</t>
  </si>
  <si>
    <t>12,13,14</t>
  </si>
  <si>
    <t>14</t>
  </si>
  <si>
    <t>Right of use assets</t>
  </si>
  <si>
    <t>Other current payables- related parties</t>
  </si>
  <si>
    <t>provided by (used in) operating activities :</t>
  </si>
  <si>
    <t>Property Plant and equipment - net</t>
  </si>
  <si>
    <t>Digital asset inventory - net</t>
  </si>
  <si>
    <t>Paid dividends in common stock</t>
  </si>
  <si>
    <t>ADDITIONAL CASH FLOW INFORMATION : OPERATING , INVESTMENT AND FINANCING ACTIVITES NOT AFFECTING CASH</t>
  </si>
  <si>
    <t>Loan to non-related parties-net , (increase) decrease</t>
  </si>
  <si>
    <t>AS AT SEPTEMBER 30, 2023</t>
  </si>
  <si>
    <t>September 30, 2023</t>
  </si>
  <si>
    <t>December 31, 2022</t>
  </si>
  <si>
    <t>FOR  THE NINE-MONTH PERIOD ENDED SEPTEMBER 30, 2023</t>
  </si>
  <si>
    <t>FOR  THE THREE-MONTH PERIOD ENDED SEPTEMBER 30, 2023</t>
  </si>
  <si>
    <t>Beginning balance as at January 1, 2023</t>
  </si>
  <si>
    <t>Ending balance as at September 30, 2023</t>
  </si>
  <si>
    <t>Ending balance as at  September 30, 2023</t>
  </si>
  <si>
    <t>- Ordinary share 13,156,835,895  shares in year 2023</t>
  </si>
  <si>
    <t xml:space="preserve">- Ordinary share 9,315,208,558  shares </t>
  </si>
  <si>
    <t>Gain on sales of other non-current financial assets</t>
  </si>
  <si>
    <t>Reduced value of inventory recovery</t>
  </si>
  <si>
    <t>Loss from digital assets inventory - net</t>
  </si>
  <si>
    <t>2.3</t>
  </si>
  <si>
    <t>Increase (Decrease) Digital assets inventory</t>
  </si>
  <si>
    <t>Investment on subsidiaries (increase) decrease</t>
  </si>
  <si>
    <t>Prepaid Corporate Income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</si>
</sst>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  <numFmt numFmtId="176" formatCode="_(* #,##0.000_);_(* \(#,##0.000\);_(* &quot;-&quot;??_);_(@_)"/>
  </numFmts>
  <fonts count="30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239">
    <xf numFmtId="0" fontId="0" fillId="0" borderId="0" xfId="0"/>
    <xf numFmtId="166" fontId="2" fillId="0" borderId="0" xfId="0" applyNumberFormat="1" applyFont="1"/>
    <xf numFmtId="166" fontId="2" fillId="0" borderId="0" xfId="1" applyNumberFormat="1" applyFont="1" applyFill="1" applyBorder="1"/>
    <xf numFmtId="0" fontId="2" fillId="0" borderId="0" xfId="0" applyFont="1"/>
    <xf numFmtId="43" fontId="2" fillId="0" borderId="0" xfId="1" applyFont="1" applyFill="1"/>
    <xf numFmtId="166" fontId="2" fillId="0" borderId="0" xfId="1" applyNumberFormat="1" applyFont="1" applyFill="1"/>
    <xf numFmtId="0" fontId="2" fillId="0" borderId="0" xfId="0" applyFont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Alignment="1">
      <alignment horizontal="center"/>
    </xf>
    <xf numFmtId="0" fontId="3" fillId="0" borderId="0" xfId="0" applyFont="1"/>
    <xf numFmtId="166" fontId="3" fillId="0" borderId="0" xfId="0" applyNumberFormat="1" applyFont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Font="1" applyAlignment="1">
      <alignment horizontal="center"/>
    </xf>
    <xf numFmtId="43" fontId="3" fillId="0" borderId="0" xfId="1" applyFont="1" applyFill="1"/>
    <xf numFmtId="167" fontId="3" fillId="0" borderId="0" xfId="0" applyNumberFormat="1" applyFont="1"/>
    <xf numFmtId="166" fontId="3" fillId="0" borderId="3" xfId="1" applyNumberFormat="1" applyFont="1" applyFill="1" applyBorder="1"/>
    <xf numFmtId="166" fontId="3" fillId="0" borderId="0" xfId="1" applyNumberFormat="1" applyFont="1" applyFill="1" applyBorder="1"/>
    <xf numFmtId="166" fontId="3" fillId="0" borderId="0" xfId="0" applyNumberFormat="1" applyFont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Alignment="1">
      <alignment horizontal="left"/>
    </xf>
    <xf numFmtId="166" fontId="3" fillId="0" borderId="0" xfId="0" applyNumberFormat="1" applyFont="1" applyAlignment="1">
      <alignment horizontal="left"/>
    </xf>
    <xf numFmtId="166" fontId="3" fillId="0" borderId="0" xfId="1" applyNumberFormat="1" applyFont="1" applyFill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168" fontId="3" fillId="0" borderId="0" xfId="0" applyNumberFormat="1" applyFont="1" applyAlignment="1">
      <alignment horizontal="center"/>
    </xf>
    <xf numFmtId="166" fontId="3" fillId="0" borderId="5" xfId="0" applyNumberFormat="1" applyFont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4" fillId="0" borderId="0" xfId="0" quotePrefix="1" applyFont="1"/>
    <xf numFmtId="0" fontId="6" fillId="0" borderId="0" xfId="0" applyFont="1" applyAlignment="1">
      <alignment horizontal="center"/>
    </xf>
    <xf numFmtId="166" fontId="3" fillId="0" borderId="5" xfId="0" applyNumberFormat="1" applyFont="1" applyBorder="1" applyAlignment="1">
      <alignment horizontal="center"/>
    </xf>
    <xf numFmtId="0" fontId="3" fillId="0" borderId="0" xfId="0" quotePrefix="1" applyFont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Border="1"/>
    <xf numFmtId="166" fontId="6" fillId="0" borderId="5" xfId="0" applyNumberFormat="1" applyFont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/>
    <xf numFmtId="167" fontId="6" fillId="0" borderId="5" xfId="0" applyNumberFormat="1" applyFont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Alignment="1">
      <alignment horizontal="right"/>
    </xf>
    <xf numFmtId="167" fontId="2" fillId="0" borderId="0" xfId="0" quotePrefix="1" applyNumberFormat="1" applyFont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Border="1"/>
    <xf numFmtId="167" fontId="2" fillId="0" borderId="7" xfId="0" applyNumberFormat="1" applyFont="1" applyBorder="1"/>
    <xf numFmtId="166" fontId="2" fillId="6" borderId="0" xfId="0" applyNumberFormat="1" applyFont="1" applyFill="1"/>
    <xf numFmtId="166" fontId="2" fillId="0" borderId="1" xfId="0" applyNumberFormat="1" applyFont="1" applyBorder="1"/>
    <xf numFmtId="166" fontId="2" fillId="0" borderId="8" xfId="0" applyNumberFormat="1" applyFont="1" applyBorder="1"/>
    <xf numFmtId="167" fontId="2" fillId="0" borderId="9" xfId="0" quotePrefix="1" applyNumberFormat="1" applyFont="1" applyBorder="1"/>
    <xf numFmtId="167" fontId="2" fillId="0" borderId="7" xfId="0" quotePrefix="1" applyNumberFormat="1" applyFont="1" applyBorder="1"/>
    <xf numFmtId="166" fontId="2" fillId="0" borderId="10" xfId="0" applyNumberFormat="1" applyFont="1" applyBorder="1"/>
    <xf numFmtId="166" fontId="2" fillId="6" borderId="0" xfId="1" applyNumberFormat="1" applyFont="1" applyFill="1"/>
    <xf numFmtId="166" fontId="2" fillId="6" borderId="0" xfId="1" applyNumberFormat="1" applyFont="1" applyFill="1" applyBorder="1"/>
    <xf numFmtId="167" fontId="2" fillId="0" borderId="11" xfId="0" quotePrefix="1" applyNumberFormat="1" applyFont="1" applyBorder="1"/>
    <xf numFmtId="166" fontId="2" fillId="0" borderId="12" xfId="0" applyNumberFormat="1" applyFont="1" applyBorder="1"/>
    <xf numFmtId="166" fontId="2" fillId="0" borderId="3" xfId="0" applyNumberFormat="1" applyFont="1" applyBorder="1"/>
    <xf numFmtId="166" fontId="2" fillId="0" borderId="4" xfId="0" applyNumberFormat="1" applyFont="1" applyBorder="1"/>
    <xf numFmtId="164" fontId="2" fillId="0" borderId="0" xfId="0" applyNumberFormat="1" applyFont="1"/>
    <xf numFmtId="166" fontId="2" fillId="7" borderId="0" xfId="0" applyNumberFormat="1" applyFont="1" applyFill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 applyAlignment="1">
      <alignment horizontal="center"/>
    </xf>
    <xf numFmtId="0" fontId="15" fillId="0" borderId="0" xfId="0" applyFont="1"/>
    <xf numFmtId="166" fontId="16" fillId="0" borderId="0" xfId="0" applyNumberFormat="1" applyFont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Alignment="1">
      <alignment horizontal="center"/>
    </xf>
    <xf numFmtId="167" fontId="18" fillId="0" borderId="0" xfId="0" applyNumberFormat="1" applyFont="1"/>
    <xf numFmtId="0" fontId="18" fillId="0" borderId="0" xfId="0" applyFont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Border="1"/>
    <xf numFmtId="166" fontId="18" fillId="0" borderId="5" xfId="1" applyNumberFormat="1" applyFont="1" applyFill="1" applyBorder="1"/>
    <xf numFmtId="167" fontId="18" fillId="0" borderId="5" xfId="0" applyNumberFormat="1" applyFont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Border="1" applyAlignment="1">
      <alignment horizontal="center"/>
    </xf>
    <xf numFmtId="0" fontId="18" fillId="0" borderId="0" xfId="0" applyFont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Border="1" applyAlignment="1">
      <alignment horizontal="center"/>
    </xf>
    <xf numFmtId="0" fontId="18" fillId="0" borderId="0" xfId="0" applyFont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Alignment="1">
      <alignment horizontal="center"/>
    </xf>
    <xf numFmtId="173" fontId="18" fillId="0" borderId="0" xfId="0" applyNumberFormat="1" applyFont="1" applyAlignment="1">
      <alignment horizontal="right"/>
    </xf>
    <xf numFmtId="166" fontId="18" fillId="0" borderId="0" xfId="1" applyNumberFormat="1" applyFont="1" applyFill="1"/>
    <xf numFmtId="0" fontId="18" fillId="0" borderId="5" xfId="0" applyFont="1" applyBorder="1"/>
    <xf numFmtId="167" fontId="18" fillId="0" borderId="0" xfId="0" quotePrefix="1" applyNumberFormat="1" applyFont="1"/>
    <xf numFmtId="166" fontId="18" fillId="0" borderId="9" xfId="1" applyNumberFormat="1" applyFont="1" applyFill="1" applyBorder="1"/>
    <xf numFmtId="166" fontId="18" fillId="0" borderId="13" xfId="0" applyNumberFormat="1" applyFont="1" applyBorder="1"/>
    <xf numFmtId="166" fontId="18" fillId="0" borderId="13" xfId="1" applyNumberFormat="1" applyFont="1" applyFill="1" applyBorder="1"/>
    <xf numFmtId="166" fontId="18" fillId="0" borderId="6" xfId="0" applyNumberFormat="1" applyFont="1" applyBorder="1"/>
    <xf numFmtId="0" fontId="18" fillId="0" borderId="10" xfId="0" applyFont="1" applyBorder="1"/>
    <xf numFmtId="166" fontId="18" fillId="0" borderId="7" xfId="1" applyNumberFormat="1" applyFont="1" applyFill="1" applyBorder="1"/>
    <xf numFmtId="166" fontId="18" fillId="0" borderId="10" xfId="0" applyNumberFormat="1" applyFont="1" applyBorder="1"/>
    <xf numFmtId="0" fontId="18" fillId="0" borderId="1" xfId="0" applyFont="1" applyBorder="1"/>
    <xf numFmtId="166" fontId="18" fillId="0" borderId="3" xfId="1" applyNumberFormat="1" applyFont="1" applyFill="1" applyBorder="1"/>
    <xf numFmtId="0" fontId="19" fillId="0" borderId="0" xfId="0" applyFont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/>
    <xf numFmtId="167" fontId="18" fillId="0" borderId="0" xfId="1" applyNumberFormat="1" applyFont="1" applyFill="1" applyBorder="1"/>
    <xf numFmtId="0" fontId="18" fillId="0" borderId="0" xfId="0" quotePrefix="1" applyFont="1"/>
    <xf numFmtId="0" fontId="21" fillId="0" borderId="0" xfId="0" quotePrefix="1" applyFont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8" fontId="3" fillId="0" borderId="0" xfId="0" applyNumberFormat="1" applyFont="1"/>
    <xf numFmtId="166" fontId="17" fillId="0" borderId="0" xfId="0" applyNumberFormat="1" applyFont="1" applyAlignment="1">
      <alignment horizontal="center"/>
    </xf>
    <xf numFmtId="43" fontId="7" fillId="0" borderId="0" xfId="1" applyFont="1" applyFill="1"/>
    <xf numFmtId="43" fontId="7" fillId="0" borderId="0" xfId="1" applyFont="1" applyFill="1" applyBorder="1"/>
    <xf numFmtId="166" fontId="7" fillId="0" borderId="0" xfId="0" applyNumberFormat="1" applyFont="1"/>
    <xf numFmtId="167" fontId="17" fillId="0" borderId="0" xfId="0" applyNumberFormat="1" applyFont="1"/>
    <xf numFmtId="0" fontId="23" fillId="0" borderId="0" xfId="0" applyFont="1"/>
    <xf numFmtId="43" fontId="18" fillId="0" borderId="0" xfId="1" applyFont="1" applyFill="1" applyBorder="1"/>
    <xf numFmtId="167" fontId="22" fillId="0" borderId="0" xfId="0" applyNumberFormat="1" applyFont="1"/>
    <xf numFmtId="166" fontId="18" fillId="0" borderId="0" xfId="0" applyNumberFormat="1" applyFont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43" fontId="23" fillId="0" borderId="0" xfId="1" applyFont="1" applyFill="1" applyBorder="1"/>
    <xf numFmtId="0" fontId="2" fillId="0" borderId="3" xfId="0" quotePrefix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67" fontId="7" fillId="0" borderId="0" xfId="0" applyNumberFormat="1" applyFont="1"/>
    <xf numFmtId="0" fontId="7" fillId="0" borderId="0" xfId="0" applyFont="1"/>
    <xf numFmtId="166" fontId="3" fillId="0" borderId="13" xfId="0" applyNumberFormat="1" applyFont="1" applyBorder="1" applyAlignment="1">
      <alignment horizontal="center"/>
    </xf>
    <xf numFmtId="0" fontId="16" fillId="0" borderId="0" xfId="0" applyFont="1" applyAlignment="1">
      <alignment horizontal="center"/>
    </xf>
    <xf numFmtId="174" fontId="16" fillId="0" borderId="0" xfId="1" applyNumberFormat="1" applyFont="1" applyFill="1" applyBorder="1"/>
    <xf numFmtId="167" fontId="16" fillId="0" borderId="0" xfId="0" applyNumberFormat="1" applyFont="1"/>
    <xf numFmtId="0" fontId="25" fillId="0" borderId="5" xfId="0" applyFont="1" applyBorder="1" applyAlignment="1">
      <alignment horizontal="center"/>
    </xf>
    <xf numFmtId="166" fontId="3" fillId="0" borderId="13" xfId="0" applyNumberFormat="1" applyFont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2" fillId="0" borderId="0" xfId="0" applyNumberFormat="1" applyFont="1"/>
    <xf numFmtId="43" fontId="3" fillId="0" borderId="0" xfId="0" applyNumberFormat="1" applyFont="1"/>
    <xf numFmtId="0" fontId="26" fillId="0" borderId="0" xfId="0" applyFont="1" applyAlignment="1">
      <alignment horizontal="center"/>
    </xf>
    <xf numFmtId="43" fontId="3" fillId="0" borderId="5" xfId="1" applyFont="1" applyFill="1" applyBorder="1"/>
    <xf numFmtId="43" fontId="3" fillId="0" borderId="0" xfId="0" applyNumberFormat="1" applyFont="1" applyAlignment="1">
      <alignment horizontal="right"/>
    </xf>
    <xf numFmtId="43" fontId="3" fillId="0" borderId="13" xfId="1" applyFont="1" applyFill="1" applyBorder="1"/>
    <xf numFmtId="43" fontId="3" fillId="0" borderId="3" xfId="1" applyFont="1" applyFill="1" applyBorder="1"/>
    <xf numFmtId="43" fontId="3" fillId="0" borderId="0" xfId="1" applyFont="1" applyFill="1" applyAlignment="1">
      <alignment horizontal="right"/>
    </xf>
    <xf numFmtId="43" fontId="3" fillId="0" borderId="4" xfId="1" applyFont="1" applyFill="1" applyBorder="1"/>
    <xf numFmtId="43" fontId="18" fillId="0" borderId="5" xfId="1" applyFont="1" applyFill="1" applyBorder="1"/>
    <xf numFmtId="43" fontId="18" fillId="0" borderId="14" xfId="1" applyFont="1" applyFill="1" applyBorder="1"/>
    <xf numFmtId="43" fontId="18" fillId="0" borderId="0" xfId="0" applyNumberFormat="1" applyFont="1"/>
    <xf numFmtId="43" fontId="6" fillId="0" borderId="0" xfId="1" applyFont="1" applyFill="1" applyBorder="1" applyAlignment="1">
      <alignment horizontal="center"/>
    </xf>
    <xf numFmtId="43" fontId="3" fillId="0" borderId="0" xfId="0" applyNumberFormat="1" applyFont="1" applyAlignment="1">
      <alignment horizontal="center"/>
    </xf>
    <xf numFmtId="43" fontId="3" fillId="0" borderId="14" xfId="1" applyFont="1" applyFill="1" applyBorder="1"/>
    <xf numFmtId="43" fontId="3" fillId="0" borderId="5" xfId="0" applyNumberFormat="1" applyFont="1" applyBorder="1" applyAlignment="1">
      <alignment horizontal="right"/>
    </xf>
    <xf numFmtId="43" fontId="2" fillId="0" borderId="0" xfId="0" applyNumberFormat="1" applyFont="1" applyAlignment="1">
      <alignment horizontal="center"/>
    </xf>
    <xf numFmtId="43" fontId="3" fillId="0" borderId="5" xfId="1" applyFont="1" applyFill="1" applyBorder="1" applyAlignment="1">
      <alignment horizontal="right"/>
    </xf>
    <xf numFmtId="43" fontId="3" fillId="0" borderId="4" xfId="0" applyNumberFormat="1" applyFont="1" applyBorder="1" applyAlignment="1">
      <alignment horizontal="right"/>
    </xf>
    <xf numFmtId="43" fontId="16" fillId="0" borderId="0" xfId="1" applyFont="1" applyFill="1" applyBorder="1"/>
    <xf numFmtId="43" fontId="16" fillId="0" borderId="0" xfId="1" applyFont="1" applyFill="1"/>
    <xf numFmtId="43" fontId="3" fillId="0" borderId="3" xfId="1" applyFont="1" applyFill="1" applyBorder="1" applyAlignment="1">
      <alignment horizontal="right"/>
    </xf>
    <xf numFmtId="43" fontId="16" fillId="0" borderId="0" xfId="0" applyNumberFormat="1" applyFont="1"/>
    <xf numFmtId="43" fontId="3" fillId="0" borderId="4" xfId="1" applyFont="1" applyFill="1" applyBorder="1" applyAlignment="1">
      <alignment horizontal="right"/>
    </xf>
    <xf numFmtId="0" fontId="2" fillId="0" borderId="0" xfId="0" quotePrefix="1" applyFont="1" applyAlignment="1">
      <alignment horizontal="center"/>
    </xf>
    <xf numFmtId="165" fontId="3" fillId="0" borderId="15" xfId="1" applyNumberFormat="1" applyFont="1" applyFill="1" applyBorder="1"/>
    <xf numFmtId="165" fontId="2" fillId="0" borderId="0" xfId="0" applyNumberFormat="1" applyFont="1"/>
    <xf numFmtId="165" fontId="3" fillId="0" borderId="15" xfId="0" applyNumberFormat="1" applyFont="1" applyBorder="1" applyAlignment="1">
      <alignment horizontal="right"/>
    </xf>
    <xf numFmtId="165" fontId="3" fillId="0" borderId="0" xfId="0" applyNumberFormat="1" applyFont="1" applyAlignment="1">
      <alignment horizontal="right"/>
    </xf>
    <xf numFmtId="0" fontId="15" fillId="0" borderId="5" xfId="0" applyFont="1" applyBorder="1" applyAlignment="1">
      <alignment horizontal="center"/>
    </xf>
    <xf numFmtId="43" fontId="3" fillId="0" borderId="14" xfId="0" applyNumberFormat="1" applyFont="1" applyBorder="1" applyAlignment="1">
      <alignment horizontal="right"/>
    </xf>
    <xf numFmtId="0" fontId="18" fillId="0" borderId="5" xfId="0" applyFont="1" applyBorder="1" applyAlignment="1">
      <alignment horizontal="center"/>
    </xf>
    <xf numFmtId="166" fontId="25" fillId="0" borderId="0" xfId="0" applyNumberFormat="1" applyFont="1" applyAlignment="1">
      <alignment horizontal="center"/>
    </xf>
    <xf numFmtId="166" fontId="25" fillId="0" borderId="0" xfId="0" applyNumberFormat="1" applyFont="1"/>
    <xf numFmtId="166" fontId="27" fillId="0" borderId="0" xfId="0" applyNumberFormat="1" applyFont="1"/>
    <xf numFmtId="166" fontId="28" fillId="0" borderId="0" xfId="0" applyNumberFormat="1" applyFont="1"/>
    <xf numFmtId="166" fontId="16" fillId="0" borderId="0" xfId="0" applyNumberFormat="1" applyFont="1" applyAlignment="1">
      <alignment horizontal="center"/>
    </xf>
    <xf numFmtId="0" fontId="29" fillId="0" borderId="0" xfId="0" applyFont="1"/>
    <xf numFmtId="43" fontId="25" fillId="0" borderId="0" xfId="1" applyFont="1" applyFill="1" applyAlignment="1">
      <alignment horizontal="center"/>
    </xf>
    <xf numFmtId="43" fontId="25" fillId="0" borderId="0" xfId="1" applyFont="1" applyFill="1"/>
    <xf numFmtId="0" fontId="25" fillId="0" borderId="0" xfId="0" applyFont="1"/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166" fontId="17" fillId="0" borderId="0" xfId="0" applyNumberFormat="1" applyFont="1" applyAlignment="1">
      <alignment horizontal="right"/>
    </xf>
    <xf numFmtId="176" fontId="3" fillId="0" borderId="14" xfId="1" applyNumberFormat="1" applyFont="1" applyFill="1" applyBorder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/>
    <xf numFmtId="0" fontId="5" fillId="0" borderId="0" xfId="0" applyFont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2" fillId="0" borderId="5" xfId="0" applyNumberFormat="1" applyFont="1" applyBorder="1" applyAlignment="1">
      <alignment horizontal="center"/>
    </xf>
    <xf numFmtId="166" fontId="15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66" fontId="17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right"/>
    </xf>
    <xf numFmtId="166" fontId="7" fillId="0" borderId="0" xfId="0" applyNumberFormat="1" applyFont="1" applyAlignment="1">
      <alignment horizontal="right"/>
    </xf>
    <xf numFmtId="167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66" fontId="15" fillId="0" borderId="5" xfId="0" applyNumberFormat="1" applyFont="1" applyBorder="1" applyAlignment="1">
      <alignment horizontal="center"/>
    </xf>
    <xf numFmtId="166" fontId="18" fillId="0" borderId="5" xfId="0" applyNumberFormat="1" applyFont="1" applyBorder="1" applyAlignment="1">
      <alignment horizont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3:V138"/>
  <sheetViews>
    <sheetView tabSelected="1" zoomScaleNormal="100" zoomScaleSheetLayoutView="120" workbookViewId="0">
      <selection activeCell="A11" sqref="A11:C11"/>
    </sheetView>
  </sheetViews>
  <sheetFormatPr defaultColWidth="9.140625" defaultRowHeight="18" x14ac:dyDescent="0.4"/>
  <cols>
    <col min="1" max="2" width="2.7109375" style="3" customWidth="1"/>
    <col min="3" max="3" width="34.42578125" style="3" bestFit="1" customWidth="1"/>
    <col min="4" max="4" width="5.42578125" style="6" customWidth="1"/>
    <col min="5" max="5" width="0.85546875" style="6" customWidth="1"/>
    <col min="6" max="6" width="12.7109375" style="6" customWidth="1"/>
    <col min="7" max="7" width="0.7109375" style="6" customWidth="1"/>
    <col min="8" max="8" width="13.42578125" style="6" customWidth="1"/>
    <col min="9" max="9" width="0.85546875" style="3" customWidth="1"/>
    <col min="10" max="10" width="12.85546875" style="5" customWidth="1"/>
    <col min="11" max="11" width="0.7109375" style="5" customWidth="1"/>
    <col min="12" max="12" width="13.5703125" style="5" customWidth="1"/>
    <col min="13" max="13" width="2.7109375" style="3" customWidth="1"/>
    <col min="14" max="14" width="15.7109375" style="3" customWidth="1"/>
    <col min="15" max="15" width="2.7109375" style="3" customWidth="1"/>
    <col min="16" max="16" width="13.85546875" style="3" customWidth="1"/>
    <col min="17" max="17" width="2.7109375" style="3" customWidth="1"/>
    <col min="18" max="18" width="14.5703125" style="3" customWidth="1"/>
    <col min="19" max="19" width="5" style="3" customWidth="1"/>
    <col min="20" max="20" width="9.140625" style="3" customWidth="1"/>
    <col min="21" max="16384" width="9.140625" style="3"/>
  </cols>
  <sheetData>
    <row r="3" spans="1:13" x14ac:dyDescent="0.4">
      <c r="A3" s="219" t="s">
        <v>131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6"/>
    </row>
    <row r="4" spans="1:13" x14ac:dyDescent="0.4">
      <c r="A4" s="218" t="s">
        <v>230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</row>
    <row r="5" spans="1:13" s="27" customFormat="1" x14ac:dyDescent="0.4">
      <c r="A5" s="218" t="s">
        <v>379</v>
      </c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</row>
    <row r="6" spans="1:13" x14ac:dyDescent="0.4">
      <c r="A6" s="13"/>
      <c r="B6" s="13"/>
      <c r="C6" s="13"/>
      <c r="F6" s="220" t="s">
        <v>132</v>
      </c>
      <c r="G6" s="220"/>
      <c r="H6" s="220"/>
      <c r="I6" s="220"/>
      <c r="J6" s="220"/>
      <c r="K6" s="220"/>
      <c r="L6" s="220"/>
    </row>
    <row r="7" spans="1:13" ht="18.75" x14ac:dyDescent="0.4">
      <c r="A7" s="9"/>
      <c r="B7" s="9"/>
      <c r="C7" s="9"/>
      <c r="F7" s="221" t="s">
        <v>198</v>
      </c>
      <c r="G7" s="221"/>
      <c r="H7" s="221"/>
      <c r="I7" s="82"/>
      <c r="J7" s="221" t="s">
        <v>199</v>
      </c>
      <c r="K7" s="221"/>
      <c r="L7" s="221"/>
    </row>
    <row r="8" spans="1:13" x14ac:dyDescent="0.4">
      <c r="A8" s="9"/>
      <c r="B8" s="9"/>
      <c r="C8" s="9"/>
      <c r="D8" s="131" t="s">
        <v>133</v>
      </c>
      <c r="F8" s="152" t="s">
        <v>380</v>
      </c>
      <c r="G8" s="193"/>
      <c r="H8" s="152" t="s">
        <v>381</v>
      </c>
      <c r="J8" s="132" t="str">
        <f>F8</f>
        <v>September 30, 2023</v>
      </c>
      <c r="K8" s="6"/>
      <c r="L8" s="132" t="str">
        <f>H8</f>
        <v>December 31, 2022</v>
      </c>
    </row>
    <row r="9" spans="1:13" s="38" customFormat="1" ht="16.5" customHeight="1" x14ac:dyDescent="0.4">
      <c r="A9" s="6"/>
      <c r="B9" s="6"/>
      <c r="C9" s="6"/>
      <c r="D9" s="6"/>
      <c r="E9" s="6"/>
      <c r="F9" s="8" t="s">
        <v>307</v>
      </c>
      <c r="G9" s="8"/>
      <c r="H9" s="35" t="s">
        <v>308</v>
      </c>
      <c r="I9" s="15"/>
      <c r="J9" s="8" t="s">
        <v>307</v>
      </c>
      <c r="K9" s="8"/>
      <c r="L9" s="35" t="s">
        <v>308</v>
      </c>
    </row>
    <row r="10" spans="1:13" s="38" customFormat="1" ht="16.5" customHeight="1" x14ac:dyDescent="0.4">
      <c r="A10" s="6"/>
      <c r="B10" s="6"/>
      <c r="C10" s="6"/>
      <c r="D10" s="6"/>
      <c r="E10" s="6"/>
      <c r="F10" s="20" t="s">
        <v>309</v>
      </c>
      <c r="G10" s="20"/>
      <c r="H10" s="20"/>
      <c r="I10" s="9"/>
      <c r="J10" s="20" t="s">
        <v>309</v>
      </c>
      <c r="K10" s="20"/>
      <c r="L10" s="20"/>
    </row>
    <row r="11" spans="1:13" ht="18" customHeight="1" x14ac:dyDescent="0.4">
      <c r="A11" s="217" t="s">
        <v>136</v>
      </c>
      <c r="B11" s="217"/>
      <c r="C11" s="217"/>
      <c r="D11" s="13"/>
      <c r="E11" s="13"/>
      <c r="F11" s="20"/>
      <c r="G11" s="20"/>
      <c r="H11" s="20"/>
      <c r="J11" s="3"/>
      <c r="K11" s="3"/>
      <c r="L11" s="3"/>
    </row>
    <row r="12" spans="1:13" x14ac:dyDescent="0.4">
      <c r="A12" s="9" t="s">
        <v>134</v>
      </c>
      <c r="B12" s="9"/>
      <c r="C12" s="9"/>
      <c r="D12" s="13"/>
      <c r="E12" s="13"/>
      <c r="F12" s="8"/>
      <c r="G12" s="8"/>
      <c r="H12" s="8"/>
      <c r="I12" s="9"/>
      <c r="J12" s="11"/>
      <c r="K12" s="11"/>
      <c r="L12" s="11"/>
    </row>
    <row r="13" spans="1:13" x14ac:dyDescent="0.4">
      <c r="A13" s="9"/>
      <c r="B13" s="9" t="s">
        <v>135</v>
      </c>
      <c r="C13" s="9"/>
      <c r="D13" s="13">
        <v>3</v>
      </c>
      <c r="E13" s="13"/>
      <c r="F13" s="176">
        <v>156124298.66999999</v>
      </c>
      <c r="G13" s="176"/>
      <c r="H13" s="176">
        <v>193802583.52000001</v>
      </c>
      <c r="I13" s="170"/>
      <c r="J13" s="14">
        <v>34121230.960000001</v>
      </c>
      <c r="K13" s="14"/>
      <c r="L13" s="14">
        <v>58130055.630000003</v>
      </c>
    </row>
    <row r="14" spans="1:13" x14ac:dyDescent="0.4">
      <c r="A14" s="9"/>
      <c r="B14" s="9" t="s">
        <v>207</v>
      </c>
      <c r="C14" s="9"/>
      <c r="D14" s="13"/>
      <c r="E14" s="13"/>
      <c r="F14" s="176"/>
      <c r="G14" s="176"/>
      <c r="H14" s="176"/>
      <c r="I14" s="170"/>
      <c r="J14" s="14"/>
      <c r="K14" s="14"/>
      <c r="L14" s="14"/>
    </row>
    <row r="15" spans="1:13" x14ac:dyDescent="0.4">
      <c r="A15" s="9"/>
      <c r="B15" s="9"/>
      <c r="C15" s="9" t="s">
        <v>299</v>
      </c>
      <c r="D15" s="13">
        <v>4</v>
      </c>
      <c r="E15" s="13"/>
      <c r="F15" s="176">
        <v>80607690.849999994</v>
      </c>
      <c r="G15" s="176"/>
      <c r="H15" s="176">
        <v>128829588.42</v>
      </c>
      <c r="I15" s="170"/>
      <c r="J15" s="14">
        <v>41503292.859999999</v>
      </c>
      <c r="K15" s="14"/>
      <c r="L15" s="14">
        <v>64178292.859999999</v>
      </c>
    </row>
    <row r="16" spans="1:13" x14ac:dyDescent="0.4">
      <c r="A16" s="9"/>
      <c r="B16" s="9"/>
      <c r="C16" s="9" t="s">
        <v>300</v>
      </c>
      <c r="D16" s="13">
        <v>2.2000000000000002</v>
      </c>
      <c r="E16" s="13"/>
      <c r="F16" s="176">
        <v>73981.11</v>
      </c>
      <c r="G16" s="176"/>
      <c r="H16" s="176">
        <v>0</v>
      </c>
      <c r="I16" s="170"/>
      <c r="J16" s="14">
        <v>5948981.1100000003</v>
      </c>
      <c r="K16" s="14"/>
      <c r="L16" s="14">
        <v>5875000</v>
      </c>
    </row>
    <row r="17" spans="1:22" x14ac:dyDescent="0.4">
      <c r="A17" s="9"/>
      <c r="B17" s="9" t="s">
        <v>326</v>
      </c>
      <c r="C17" s="9"/>
      <c r="D17" s="13"/>
      <c r="E17" s="13"/>
      <c r="F17" s="176"/>
      <c r="G17" s="176"/>
      <c r="H17" s="176"/>
      <c r="I17" s="170"/>
      <c r="J17" s="14"/>
      <c r="K17" s="14"/>
      <c r="L17" s="14"/>
    </row>
    <row r="18" spans="1:22" x14ac:dyDescent="0.4">
      <c r="A18" s="9"/>
      <c r="B18" s="9"/>
      <c r="C18" s="9" t="s">
        <v>299</v>
      </c>
      <c r="D18" s="13">
        <v>5</v>
      </c>
      <c r="E18" s="13"/>
      <c r="F18" s="176">
        <v>160343054.62</v>
      </c>
      <c r="G18" s="176"/>
      <c r="H18" s="176">
        <v>302053612.75</v>
      </c>
      <c r="I18" s="170"/>
      <c r="J18" s="14">
        <v>24032661.73</v>
      </c>
      <c r="K18" s="14"/>
      <c r="L18" s="14">
        <v>5218679.47</v>
      </c>
    </row>
    <row r="19" spans="1:22" x14ac:dyDescent="0.4">
      <c r="A19" s="9"/>
      <c r="B19" s="9" t="s">
        <v>375</v>
      </c>
      <c r="C19" s="9"/>
      <c r="D19" s="13">
        <v>6</v>
      </c>
      <c r="E19" s="13"/>
      <c r="F19" s="176">
        <v>613999853.63999999</v>
      </c>
      <c r="G19" s="176"/>
      <c r="H19" s="176">
        <v>389873419.69</v>
      </c>
      <c r="I19" s="170"/>
      <c r="J19" s="14">
        <v>278599.25</v>
      </c>
      <c r="K19" s="14"/>
      <c r="L19" s="14">
        <v>291640.82</v>
      </c>
    </row>
    <row r="20" spans="1:22" x14ac:dyDescent="0.4">
      <c r="A20" s="9"/>
      <c r="B20" s="9" t="s">
        <v>342</v>
      </c>
      <c r="C20" s="9"/>
      <c r="D20" s="13"/>
      <c r="E20" s="13"/>
      <c r="F20" s="176"/>
      <c r="G20" s="176"/>
      <c r="H20" s="176"/>
      <c r="I20" s="14"/>
      <c r="J20" s="14"/>
      <c r="K20" s="14"/>
      <c r="L20" s="14"/>
    </row>
    <row r="21" spans="1:22" x14ac:dyDescent="0.4">
      <c r="A21" s="9"/>
      <c r="B21" s="9"/>
      <c r="C21" s="9" t="s">
        <v>299</v>
      </c>
      <c r="D21" s="13">
        <v>7</v>
      </c>
      <c r="E21" s="13"/>
      <c r="F21" s="176">
        <v>303000000</v>
      </c>
      <c r="G21" s="176"/>
      <c r="H21" s="176">
        <v>173000000</v>
      </c>
      <c r="I21" s="14"/>
      <c r="J21" s="176">
        <v>303000000</v>
      </c>
      <c r="K21" s="176"/>
      <c r="L21" s="176">
        <v>173000000</v>
      </c>
      <c r="V21" s="9"/>
    </row>
    <row r="22" spans="1:22" x14ac:dyDescent="0.4">
      <c r="A22" s="9"/>
      <c r="B22" s="9"/>
      <c r="C22" s="9" t="s">
        <v>300</v>
      </c>
      <c r="D22" s="13">
        <v>2.2999999999999998</v>
      </c>
      <c r="E22" s="13"/>
      <c r="F22" s="176">
        <v>0</v>
      </c>
      <c r="G22" s="176"/>
      <c r="H22" s="176">
        <v>0</v>
      </c>
      <c r="I22" s="14"/>
      <c r="J22" s="173">
        <v>1707786832.0899999</v>
      </c>
      <c r="K22" s="173"/>
      <c r="L22" s="173">
        <v>2005852850.3</v>
      </c>
    </row>
    <row r="23" spans="1:22" x14ac:dyDescent="0.4">
      <c r="A23" s="9"/>
      <c r="B23" s="9" t="s">
        <v>321</v>
      </c>
      <c r="C23" s="9"/>
      <c r="D23" s="13">
        <v>8</v>
      </c>
      <c r="E23" s="13"/>
      <c r="F23" s="176">
        <v>769073268.32000005</v>
      </c>
      <c r="G23" s="176"/>
      <c r="H23" s="176">
        <v>1135405645.74</v>
      </c>
      <c r="I23" s="170"/>
      <c r="J23" s="14">
        <v>106714720.09999999</v>
      </c>
      <c r="K23" s="14"/>
      <c r="L23" s="14">
        <v>108176650.72</v>
      </c>
    </row>
    <row r="24" spans="1:22" x14ac:dyDescent="0.4">
      <c r="A24" s="9"/>
      <c r="B24" s="9" t="s">
        <v>137</v>
      </c>
      <c r="C24" s="9"/>
      <c r="D24" s="13"/>
      <c r="E24" s="13"/>
      <c r="F24" s="176"/>
      <c r="G24" s="176"/>
      <c r="H24" s="176"/>
      <c r="I24" s="170"/>
      <c r="J24" s="14"/>
      <c r="K24" s="14"/>
      <c r="L24" s="14"/>
    </row>
    <row r="25" spans="1:22" x14ac:dyDescent="0.4">
      <c r="A25" s="9"/>
      <c r="B25" s="9"/>
      <c r="C25" s="9" t="s">
        <v>238</v>
      </c>
      <c r="D25" s="13"/>
      <c r="E25" s="13"/>
      <c r="F25" s="176">
        <v>21125593.050000001</v>
      </c>
      <c r="G25" s="176"/>
      <c r="H25" s="176">
        <v>23349822.59</v>
      </c>
      <c r="I25" s="170"/>
      <c r="J25" s="14">
        <v>15836085.060000002</v>
      </c>
      <c r="K25" s="14"/>
      <c r="L25" s="14">
        <v>17967750.239999998</v>
      </c>
    </row>
    <row r="26" spans="1:22" x14ac:dyDescent="0.4">
      <c r="A26" s="9"/>
      <c r="B26" s="9"/>
      <c r="C26" s="9" t="s">
        <v>395</v>
      </c>
      <c r="D26" s="13"/>
      <c r="E26" s="13"/>
      <c r="F26" s="176">
        <v>6578580.1100000003</v>
      </c>
      <c r="G26" s="176"/>
      <c r="H26" s="176">
        <v>0</v>
      </c>
      <c r="I26" s="170"/>
      <c r="J26" s="14">
        <v>6578580.1100000003</v>
      </c>
      <c r="K26" s="14"/>
      <c r="L26" s="14">
        <v>0</v>
      </c>
    </row>
    <row r="27" spans="1:22" x14ac:dyDescent="0.4">
      <c r="A27" s="9"/>
      <c r="B27" s="9"/>
      <c r="C27" s="9" t="s">
        <v>141</v>
      </c>
      <c r="D27" s="13"/>
      <c r="E27" s="13"/>
      <c r="F27" s="173">
        <v>957906.64</v>
      </c>
      <c r="G27" s="173"/>
      <c r="H27" s="173">
        <v>1424563.16</v>
      </c>
      <c r="I27" s="170"/>
      <c r="J27" s="14">
        <v>252271.44</v>
      </c>
      <c r="K27" s="14"/>
      <c r="L27" s="14">
        <v>505747.6</v>
      </c>
    </row>
    <row r="28" spans="1:22" x14ac:dyDescent="0.4">
      <c r="A28" s="9"/>
      <c r="B28" s="9"/>
      <c r="C28" s="9" t="s">
        <v>143</v>
      </c>
      <c r="D28" s="13"/>
      <c r="E28" s="13"/>
      <c r="F28" s="175">
        <f>SUM(F13:F27)</f>
        <v>2111884227.01</v>
      </c>
      <c r="G28" s="22"/>
      <c r="H28" s="175">
        <f>SUM(H13:H27)</f>
        <v>2347739235.8699999</v>
      </c>
      <c r="I28" s="170"/>
      <c r="J28" s="175">
        <f>SUM(J13:J27)</f>
        <v>2246053254.71</v>
      </c>
      <c r="K28" s="22"/>
      <c r="L28" s="175">
        <f>SUM(L13:L27)</f>
        <v>2439196667.6399994</v>
      </c>
    </row>
    <row r="29" spans="1:22" x14ac:dyDescent="0.4">
      <c r="A29" s="9"/>
      <c r="B29" s="9"/>
      <c r="C29" s="9"/>
      <c r="D29" s="13"/>
      <c r="E29" s="13"/>
      <c r="F29" s="173"/>
      <c r="G29" s="173"/>
      <c r="H29" s="173"/>
      <c r="I29" s="170"/>
      <c r="J29" s="14"/>
      <c r="K29" s="14"/>
      <c r="L29" s="14"/>
    </row>
    <row r="30" spans="1:22" x14ac:dyDescent="0.4">
      <c r="A30" s="9" t="s">
        <v>139</v>
      </c>
      <c r="B30" s="9"/>
      <c r="C30" s="9"/>
      <c r="D30" s="13"/>
      <c r="E30" s="13"/>
      <c r="F30" s="173"/>
      <c r="G30" s="173"/>
      <c r="H30" s="173"/>
      <c r="I30" s="170"/>
      <c r="J30" s="14"/>
      <c r="K30" s="14"/>
      <c r="L30" s="14"/>
    </row>
    <row r="31" spans="1:22" hidden="1" x14ac:dyDescent="0.4">
      <c r="A31" s="9"/>
      <c r="B31" s="9" t="s">
        <v>203</v>
      </c>
      <c r="C31" s="9"/>
      <c r="D31" s="13"/>
      <c r="E31" s="13"/>
      <c r="F31" s="173"/>
      <c r="G31" s="173"/>
      <c r="H31" s="173">
        <v>0</v>
      </c>
      <c r="I31" s="170"/>
      <c r="J31" s="173"/>
      <c r="K31" s="173"/>
      <c r="L31" s="173">
        <v>0</v>
      </c>
    </row>
    <row r="32" spans="1:22" x14ac:dyDescent="0.4">
      <c r="A32" s="9"/>
      <c r="B32" s="133" t="s">
        <v>305</v>
      </c>
      <c r="C32" s="9"/>
      <c r="D32" s="13">
        <v>9</v>
      </c>
      <c r="E32" s="13"/>
      <c r="F32" s="176">
        <v>0</v>
      </c>
      <c r="G32" s="176"/>
      <c r="H32" s="176">
        <v>0</v>
      </c>
      <c r="I32" s="170"/>
      <c r="J32" s="14">
        <v>261044600</v>
      </c>
      <c r="K32" s="14"/>
      <c r="L32" s="14">
        <v>221044600</v>
      </c>
    </row>
    <row r="33" spans="1:12" x14ac:dyDescent="0.4">
      <c r="A33" s="9"/>
      <c r="B33" s="133" t="s">
        <v>322</v>
      </c>
      <c r="C33" s="9"/>
      <c r="D33" s="13">
        <v>10</v>
      </c>
      <c r="E33" s="13"/>
      <c r="F33" s="176">
        <v>285000620.16000003</v>
      </c>
      <c r="G33" s="176"/>
      <c r="H33" s="176">
        <v>205000586.03</v>
      </c>
      <c r="I33" s="170"/>
      <c r="J33" s="14">
        <v>285000000</v>
      </c>
      <c r="K33" s="14"/>
      <c r="L33" s="14">
        <v>205000000</v>
      </c>
    </row>
    <row r="34" spans="1:12" x14ac:dyDescent="0.4">
      <c r="A34" s="9"/>
      <c r="B34" s="133" t="s">
        <v>280</v>
      </c>
      <c r="C34" s="9"/>
      <c r="D34" s="13">
        <v>11</v>
      </c>
      <c r="E34" s="13"/>
      <c r="F34" s="176">
        <v>391500000</v>
      </c>
      <c r="G34" s="176"/>
      <c r="H34" s="176">
        <v>391500000</v>
      </c>
      <c r="I34" s="170"/>
      <c r="J34" s="14">
        <v>391500000</v>
      </c>
      <c r="K34" s="14"/>
      <c r="L34" s="14">
        <v>391500000</v>
      </c>
    </row>
    <row r="35" spans="1:12" x14ac:dyDescent="0.4">
      <c r="A35" s="9"/>
      <c r="B35" s="133" t="s">
        <v>269</v>
      </c>
      <c r="C35" s="9"/>
      <c r="D35" s="13">
        <v>12</v>
      </c>
      <c r="E35" s="13"/>
      <c r="F35" s="173">
        <v>5280926.74</v>
      </c>
      <c r="G35" s="173"/>
      <c r="H35" s="173">
        <v>5610155.5099999998</v>
      </c>
      <c r="I35" s="170"/>
      <c r="J35" s="14">
        <v>5280926.74</v>
      </c>
      <c r="K35" s="14"/>
      <c r="L35" s="14">
        <v>5610155.5099999998</v>
      </c>
    </row>
    <row r="36" spans="1:12" x14ac:dyDescent="0.4">
      <c r="A36" s="9"/>
      <c r="B36" s="133" t="s">
        <v>374</v>
      </c>
      <c r="C36" s="9"/>
      <c r="D36" s="13">
        <v>13</v>
      </c>
      <c r="E36" s="13"/>
      <c r="F36" s="173">
        <v>55463730.18</v>
      </c>
      <c r="G36" s="173"/>
      <c r="H36" s="173">
        <v>71648554.980000004</v>
      </c>
      <c r="I36" s="170"/>
      <c r="J36" s="14">
        <v>29759199.07</v>
      </c>
      <c r="K36" s="14"/>
      <c r="L36" s="14">
        <v>32293497.359999999</v>
      </c>
    </row>
    <row r="37" spans="1:12" x14ac:dyDescent="0.4">
      <c r="A37" s="9"/>
      <c r="B37" s="133" t="s">
        <v>368</v>
      </c>
      <c r="C37" s="9"/>
      <c r="D37" s="13">
        <v>14</v>
      </c>
      <c r="E37" s="13"/>
      <c r="F37" s="173">
        <v>1454467.88</v>
      </c>
      <c r="G37" s="173"/>
      <c r="H37" s="173">
        <v>2047109.25</v>
      </c>
      <c r="I37" s="170"/>
      <c r="J37" s="14">
        <v>1454467.88</v>
      </c>
      <c r="K37" s="14"/>
      <c r="L37" s="14">
        <v>2047109.25</v>
      </c>
    </row>
    <row r="38" spans="1:12" x14ac:dyDescent="0.4">
      <c r="A38" s="9"/>
      <c r="B38" s="133" t="s">
        <v>248</v>
      </c>
      <c r="C38" s="9"/>
      <c r="D38" s="13">
        <v>15.3</v>
      </c>
      <c r="E38" s="13"/>
      <c r="F38" s="173">
        <v>90986015.400000006</v>
      </c>
      <c r="G38" s="173"/>
      <c r="H38" s="173">
        <v>92643273.340000004</v>
      </c>
      <c r="I38" s="170"/>
      <c r="J38" s="14">
        <v>82541847.980000004</v>
      </c>
      <c r="K38" s="14"/>
      <c r="L38" s="14">
        <v>86876274.810000002</v>
      </c>
    </row>
    <row r="39" spans="1:12" x14ac:dyDescent="0.4">
      <c r="A39" s="9"/>
      <c r="B39" s="133" t="s">
        <v>140</v>
      </c>
      <c r="C39" s="9"/>
      <c r="D39" s="13"/>
      <c r="E39" s="13"/>
      <c r="F39" s="173">
        <v>707010</v>
      </c>
      <c r="G39" s="173"/>
      <c r="H39" s="173">
        <v>1079641.76</v>
      </c>
      <c r="I39" s="170"/>
      <c r="J39" s="14">
        <v>428610</v>
      </c>
      <c r="K39" s="14"/>
      <c r="L39" s="14">
        <v>427410</v>
      </c>
    </row>
    <row r="40" spans="1:12" x14ac:dyDescent="0.4">
      <c r="A40" s="9"/>
      <c r="B40" s="9"/>
      <c r="C40" s="133" t="s">
        <v>142</v>
      </c>
      <c r="D40" s="13"/>
      <c r="E40" s="13"/>
      <c r="F40" s="175">
        <f>SUM(F31:F39)</f>
        <v>830392770.36000001</v>
      </c>
      <c r="G40" s="22"/>
      <c r="H40" s="175">
        <f>SUM(H31:H39)</f>
        <v>769529320.87</v>
      </c>
      <c r="I40" s="170"/>
      <c r="J40" s="175">
        <f>SUM(J31:J39)</f>
        <v>1057009651.6700001</v>
      </c>
      <c r="K40" s="22"/>
      <c r="L40" s="175">
        <f>SUM(L31:L39)</f>
        <v>944799046.93000007</v>
      </c>
    </row>
    <row r="41" spans="1:12" ht="18.75" thickBot="1" x14ac:dyDescent="0.45">
      <c r="A41" s="133" t="s">
        <v>144</v>
      </c>
      <c r="B41" s="9"/>
      <c r="C41" s="9"/>
      <c r="D41" s="13"/>
      <c r="E41" s="13"/>
      <c r="F41" s="177">
        <f>+F40+F28</f>
        <v>2942276997.3699999</v>
      </c>
      <c r="G41" s="22"/>
      <c r="H41" s="177">
        <f>+H40+H28</f>
        <v>3117268556.7399998</v>
      </c>
      <c r="I41" s="170"/>
      <c r="J41" s="177">
        <f>+J40+J28</f>
        <v>3303062906.3800001</v>
      </c>
      <c r="K41" s="22"/>
      <c r="L41" s="177">
        <f>+L40+L28</f>
        <v>3383995714.5699997</v>
      </c>
    </row>
    <row r="42" spans="1:12" ht="18.75" thickTop="1" x14ac:dyDescent="0.4">
      <c r="A42" s="9"/>
      <c r="B42" s="9"/>
      <c r="C42" s="9"/>
      <c r="D42" s="13"/>
      <c r="E42" s="13"/>
      <c r="F42" s="182"/>
      <c r="G42" s="182"/>
      <c r="H42" s="182"/>
      <c r="I42" s="170"/>
      <c r="J42" s="22"/>
      <c r="K42" s="22"/>
      <c r="L42" s="22"/>
    </row>
    <row r="43" spans="1:12" x14ac:dyDescent="0.4">
      <c r="A43" s="15" t="s">
        <v>298</v>
      </c>
      <c r="B43" s="9"/>
      <c r="C43" s="9"/>
      <c r="D43" s="13"/>
      <c r="E43" s="13"/>
      <c r="F43" s="13"/>
      <c r="G43" s="13"/>
      <c r="H43" s="13"/>
      <c r="I43" s="9"/>
      <c r="J43" s="17"/>
      <c r="K43" s="17"/>
      <c r="L43" s="17"/>
    </row>
    <row r="44" spans="1:12" x14ac:dyDescent="0.4">
      <c r="B44" s="9"/>
      <c r="C44" s="9"/>
      <c r="D44" s="13"/>
      <c r="E44" s="13"/>
      <c r="F44" s="13"/>
      <c r="G44" s="13"/>
      <c r="H44" s="13"/>
      <c r="I44" s="9"/>
      <c r="J44" s="11"/>
      <c r="K44" s="11"/>
      <c r="L44" s="11"/>
    </row>
    <row r="45" spans="1:12" ht="18.75" customHeight="1" x14ac:dyDescent="0.4">
      <c r="A45" s="9"/>
      <c r="B45" s="9"/>
      <c r="C45" s="9"/>
      <c r="D45" s="13"/>
      <c r="E45" s="13"/>
      <c r="F45" s="13"/>
      <c r="G45" s="13"/>
      <c r="H45" s="13"/>
      <c r="I45" s="9"/>
      <c r="J45" s="11"/>
      <c r="K45" s="11"/>
      <c r="L45" s="11"/>
    </row>
    <row r="46" spans="1:12" x14ac:dyDescent="0.4">
      <c r="A46" s="13"/>
      <c r="B46" s="25" t="s">
        <v>145</v>
      </c>
      <c r="C46" s="13"/>
      <c r="D46" s="25"/>
      <c r="E46" s="13"/>
      <c r="F46" s="25" t="s">
        <v>145</v>
      </c>
      <c r="G46" s="25"/>
      <c r="H46" s="13"/>
      <c r="I46" s="13"/>
      <c r="J46" s="13"/>
      <c r="K46" s="13"/>
      <c r="L46" s="13"/>
    </row>
    <row r="47" spans="1:12" ht="9.75" customHeight="1" x14ac:dyDescent="0.4">
      <c r="A47" s="222"/>
      <c r="B47" s="222"/>
      <c r="C47" s="222"/>
      <c r="D47" s="222"/>
      <c r="E47" s="222"/>
      <c r="F47" s="222"/>
      <c r="G47" s="222"/>
      <c r="H47" s="222"/>
      <c r="I47" s="222"/>
      <c r="J47" s="222"/>
      <c r="K47" s="222"/>
      <c r="L47" s="222"/>
    </row>
    <row r="48" spans="1:12" x14ac:dyDescent="0.4">
      <c r="B48" s="25"/>
      <c r="C48" s="13"/>
      <c r="D48" s="25"/>
      <c r="E48" s="25"/>
      <c r="F48" s="25"/>
      <c r="G48" s="25"/>
      <c r="H48" s="13"/>
      <c r="I48" s="25"/>
      <c r="J48" s="25"/>
      <c r="K48" s="25"/>
      <c r="L48" s="25"/>
    </row>
    <row r="49" spans="1:12" x14ac:dyDescent="0.4">
      <c r="A49" s="25"/>
      <c r="B49" s="26"/>
      <c r="C49" s="13"/>
      <c r="D49" s="13"/>
      <c r="E49" s="13"/>
      <c r="F49" s="13"/>
      <c r="G49" s="13"/>
      <c r="H49" s="13"/>
      <c r="I49" s="13"/>
      <c r="J49" s="13"/>
      <c r="K49" s="13"/>
      <c r="L49" s="11"/>
    </row>
    <row r="50" spans="1:12" x14ac:dyDescent="0.4">
      <c r="A50" s="218" t="s">
        <v>131</v>
      </c>
      <c r="B50" s="218"/>
      <c r="C50" s="218"/>
      <c r="D50" s="218"/>
      <c r="E50" s="218"/>
      <c r="F50" s="218"/>
      <c r="G50" s="218"/>
      <c r="H50" s="218"/>
      <c r="I50" s="218"/>
      <c r="J50" s="218"/>
      <c r="K50" s="218"/>
      <c r="L50" s="218"/>
    </row>
    <row r="51" spans="1:12" x14ac:dyDescent="0.4">
      <c r="A51" s="218" t="s">
        <v>230</v>
      </c>
      <c r="B51" s="218"/>
      <c r="C51" s="218"/>
      <c r="D51" s="218"/>
      <c r="E51" s="218"/>
      <c r="F51" s="218"/>
      <c r="G51" s="218"/>
      <c r="H51" s="218"/>
      <c r="I51" s="218"/>
      <c r="J51" s="218"/>
      <c r="K51" s="218"/>
      <c r="L51" s="218"/>
    </row>
    <row r="52" spans="1:12" s="27" customFormat="1" x14ac:dyDescent="0.4">
      <c r="A52" s="218" t="str">
        <f>+A5</f>
        <v>AS AT SEPTEMBER 30, 2023</v>
      </c>
      <c r="B52" s="218"/>
      <c r="C52" s="218"/>
      <c r="D52" s="218"/>
      <c r="E52" s="218"/>
      <c r="F52" s="218"/>
      <c r="G52" s="218"/>
      <c r="H52" s="218"/>
      <c r="I52" s="218"/>
      <c r="J52" s="218"/>
      <c r="K52" s="218"/>
      <c r="L52" s="218"/>
    </row>
    <row r="53" spans="1:12" ht="18.75" customHeight="1" x14ac:dyDescent="0.4">
      <c r="A53" s="9"/>
      <c r="B53" s="9"/>
      <c r="C53" s="9"/>
      <c r="F53" s="220" t="s">
        <v>132</v>
      </c>
      <c r="G53" s="220"/>
      <c r="H53" s="220"/>
      <c r="I53" s="220"/>
      <c r="J53" s="220"/>
      <c r="K53" s="220"/>
      <c r="L53" s="220"/>
    </row>
    <row r="54" spans="1:12" ht="18.75" customHeight="1" x14ac:dyDescent="0.4">
      <c r="A54" s="9"/>
      <c r="B54" s="9"/>
      <c r="C54" s="9"/>
      <c r="F54" s="221" t="s">
        <v>198</v>
      </c>
      <c r="G54" s="221"/>
      <c r="H54" s="221"/>
      <c r="I54" s="82"/>
      <c r="J54" s="221" t="s">
        <v>199</v>
      </c>
      <c r="K54" s="221"/>
      <c r="L54" s="221"/>
    </row>
    <row r="55" spans="1:12" x14ac:dyDescent="0.4">
      <c r="A55" s="9"/>
      <c r="B55" s="9"/>
      <c r="C55" s="9"/>
      <c r="D55" s="131" t="s">
        <v>133</v>
      </c>
      <c r="F55" s="132" t="str">
        <f>F8</f>
        <v>September 30, 2023</v>
      </c>
      <c r="H55" s="132" t="str">
        <f>H8</f>
        <v>December 31, 2022</v>
      </c>
      <c r="J55" s="132" t="str">
        <f>J8</f>
        <v>September 30, 2023</v>
      </c>
      <c r="K55" s="6"/>
      <c r="L55" s="132" t="str">
        <f>L8</f>
        <v>December 31, 2022</v>
      </c>
    </row>
    <row r="56" spans="1:12" s="38" customFormat="1" ht="18" customHeight="1" x14ac:dyDescent="0.4">
      <c r="A56" s="6"/>
      <c r="B56" s="6"/>
      <c r="C56" s="6"/>
      <c r="D56" s="6"/>
      <c r="E56" s="6"/>
      <c r="F56" s="8" t="s">
        <v>307</v>
      </c>
      <c r="G56" s="8"/>
      <c r="H56" s="35" t="s">
        <v>308</v>
      </c>
      <c r="I56" s="15"/>
      <c r="J56" s="8" t="s">
        <v>307</v>
      </c>
      <c r="K56" s="8"/>
      <c r="L56" s="35" t="s">
        <v>308</v>
      </c>
    </row>
    <row r="57" spans="1:12" s="38" customFormat="1" ht="18" customHeight="1" x14ac:dyDescent="0.4">
      <c r="A57" s="6"/>
      <c r="B57" s="6"/>
      <c r="C57" s="6"/>
      <c r="D57" s="6"/>
      <c r="E57" s="6"/>
      <c r="F57" s="20" t="s">
        <v>309</v>
      </c>
      <c r="G57" s="20"/>
      <c r="H57" s="20"/>
      <c r="I57" s="9"/>
      <c r="J57" s="20" t="s">
        <v>309</v>
      </c>
      <c r="K57" s="20"/>
      <c r="L57" s="20"/>
    </row>
    <row r="58" spans="1:12" ht="18" customHeight="1" x14ac:dyDescent="0.4">
      <c r="A58" s="217" t="s">
        <v>146</v>
      </c>
      <c r="B58" s="217"/>
      <c r="C58" s="217"/>
      <c r="D58" s="13"/>
      <c r="E58" s="13"/>
      <c r="F58" s="28"/>
      <c r="G58" s="28"/>
      <c r="H58" s="28"/>
      <c r="I58" s="9"/>
      <c r="J58" s="28"/>
      <c r="K58" s="28"/>
      <c r="L58" s="28"/>
    </row>
    <row r="59" spans="1:12" x14ac:dyDescent="0.4">
      <c r="A59" s="133" t="s">
        <v>147</v>
      </c>
      <c r="B59" s="9"/>
      <c r="C59" s="9"/>
      <c r="D59" s="13"/>
      <c r="E59" s="13"/>
      <c r="F59" s="10"/>
      <c r="G59" s="10"/>
      <c r="H59" s="10"/>
      <c r="I59" s="9"/>
      <c r="J59" s="11"/>
      <c r="K59" s="11"/>
      <c r="L59" s="11"/>
    </row>
    <row r="60" spans="1:12" x14ac:dyDescent="0.4">
      <c r="A60" s="9"/>
      <c r="B60" s="9" t="s">
        <v>281</v>
      </c>
      <c r="C60" s="9"/>
      <c r="D60" s="13">
        <v>16</v>
      </c>
      <c r="E60" s="13"/>
      <c r="F60" s="10">
        <v>310000000</v>
      </c>
      <c r="G60" s="10"/>
      <c r="H60" s="176">
        <v>360000000</v>
      </c>
      <c r="I60" s="9"/>
      <c r="J60" s="11">
        <v>310000000</v>
      </c>
      <c r="K60" s="11"/>
      <c r="L60" s="176">
        <v>360000000</v>
      </c>
    </row>
    <row r="61" spans="1:12" x14ac:dyDescent="0.4">
      <c r="A61" s="9"/>
      <c r="B61" s="9" t="s">
        <v>249</v>
      </c>
      <c r="C61" s="9"/>
      <c r="D61" s="13"/>
      <c r="E61" s="13"/>
      <c r="F61" s="12"/>
      <c r="G61" s="12"/>
      <c r="H61" s="12"/>
      <c r="I61" s="18"/>
      <c r="J61" s="11"/>
      <c r="K61" s="11"/>
      <c r="L61" s="11"/>
    </row>
    <row r="62" spans="1:12" x14ac:dyDescent="0.4">
      <c r="A62" s="9"/>
      <c r="B62" s="9"/>
      <c r="C62" s="9" t="s">
        <v>299</v>
      </c>
      <c r="D62" s="13">
        <v>17</v>
      </c>
      <c r="E62" s="13"/>
      <c r="F62" s="176">
        <v>565314.03</v>
      </c>
      <c r="G62" s="176"/>
      <c r="H62" s="176">
        <v>534699.31000000006</v>
      </c>
      <c r="I62" s="170"/>
      <c r="J62" s="14">
        <v>0</v>
      </c>
      <c r="K62" s="14"/>
      <c r="L62" s="14">
        <v>0</v>
      </c>
    </row>
    <row r="63" spans="1:12" x14ac:dyDescent="0.4">
      <c r="A63" s="9"/>
      <c r="B63" s="9"/>
      <c r="C63" s="9" t="s">
        <v>300</v>
      </c>
      <c r="D63" s="13">
        <v>2.4</v>
      </c>
      <c r="E63" s="13"/>
      <c r="F63" s="176">
        <v>0</v>
      </c>
      <c r="G63" s="176"/>
      <c r="H63" s="176">
        <v>0</v>
      </c>
      <c r="I63" s="170"/>
      <c r="J63" s="14">
        <v>2000000</v>
      </c>
      <c r="K63" s="14"/>
      <c r="L63" s="14">
        <v>0</v>
      </c>
    </row>
    <row r="64" spans="1:12" x14ac:dyDescent="0.4">
      <c r="A64" s="9"/>
      <c r="B64" s="9" t="s">
        <v>327</v>
      </c>
      <c r="E64" s="13"/>
      <c r="F64" s="176"/>
      <c r="G64" s="176"/>
      <c r="H64" s="176"/>
      <c r="I64" s="170"/>
      <c r="J64" s="14"/>
      <c r="K64" s="14"/>
      <c r="L64" s="14"/>
    </row>
    <row r="65" spans="1:14" x14ac:dyDescent="0.4">
      <c r="A65" s="9"/>
      <c r="B65" s="9"/>
      <c r="C65" s="9" t="s">
        <v>299</v>
      </c>
      <c r="D65" s="6">
        <v>18</v>
      </c>
      <c r="E65" s="13"/>
      <c r="F65" s="176">
        <v>32810701.760000002</v>
      </c>
      <c r="G65" s="176"/>
      <c r="H65" s="176">
        <v>26888375.510000002</v>
      </c>
      <c r="I65" s="170"/>
      <c r="J65" s="14">
        <v>29363001.949999999</v>
      </c>
      <c r="K65" s="14"/>
      <c r="L65" s="14">
        <v>13042986.43</v>
      </c>
    </row>
    <row r="66" spans="1:14" x14ac:dyDescent="0.4">
      <c r="A66" s="9"/>
      <c r="B66" s="9"/>
      <c r="C66" s="9" t="s">
        <v>300</v>
      </c>
      <c r="D66" s="6">
        <v>2.5</v>
      </c>
      <c r="E66" s="13"/>
      <c r="F66" s="176">
        <v>0</v>
      </c>
      <c r="G66" s="176"/>
      <c r="H66" s="176">
        <v>0</v>
      </c>
      <c r="I66" s="170"/>
      <c r="J66" s="14">
        <v>11618357.460000001</v>
      </c>
      <c r="K66" s="14"/>
      <c r="L66" s="14">
        <v>6591361.0499999998</v>
      </c>
    </row>
    <row r="67" spans="1:14" x14ac:dyDescent="0.4">
      <c r="A67" s="9"/>
      <c r="B67" s="9" t="s">
        <v>341</v>
      </c>
      <c r="C67" s="9"/>
      <c r="E67" s="13"/>
      <c r="F67" s="176"/>
      <c r="G67" s="176"/>
      <c r="H67" s="176"/>
      <c r="I67" s="170"/>
      <c r="J67" s="14"/>
      <c r="K67" s="14"/>
      <c r="L67" s="14"/>
    </row>
    <row r="68" spans="1:14" x14ac:dyDescent="0.4">
      <c r="A68" s="9"/>
      <c r="B68" s="9"/>
      <c r="C68" s="9" t="s">
        <v>300</v>
      </c>
      <c r="D68" s="6">
        <v>2.6</v>
      </c>
      <c r="E68" s="13"/>
      <c r="F68" s="176">
        <v>0</v>
      </c>
      <c r="G68" s="176"/>
      <c r="H68" s="176">
        <v>0</v>
      </c>
      <c r="I68" s="170"/>
      <c r="J68" s="14">
        <v>25000000</v>
      </c>
      <c r="K68" s="14"/>
      <c r="L68" s="14">
        <v>25000000</v>
      </c>
    </row>
    <row r="69" spans="1:14" x14ac:dyDescent="0.4">
      <c r="A69" s="9"/>
      <c r="B69" s="9" t="s">
        <v>149</v>
      </c>
      <c r="D69" s="13"/>
      <c r="E69" s="13"/>
      <c r="F69" s="176">
        <v>13349455.050000001</v>
      </c>
      <c r="G69" s="176"/>
      <c r="H69" s="176">
        <v>14354634.25</v>
      </c>
      <c r="I69" s="170"/>
      <c r="J69" s="176">
        <v>13349455.050000001</v>
      </c>
      <c r="K69" s="176"/>
      <c r="L69" s="176">
        <v>14354634.25</v>
      </c>
    </row>
    <row r="70" spans="1:14" x14ac:dyDescent="0.4">
      <c r="A70" s="9"/>
      <c r="B70" s="9" t="s">
        <v>367</v>
      </c>
      <c r="D70" s="13">
        <v>19</v>
      </c>
      <c r="E70" s="13"/>
      <c r="F70" s="176">
        <v>795779.71</v>
      </c>
      <c r="G70" s="176"/>
      <c r="H70" s="176">
        <v>783184.47</v>
      </c>
      <c r="I70" s="170"/>
      <c r="J70" s="176">
        <v>795779.71</v>
      </c>
      <c r="K70" s="176"/>
      <c r="L70" s="176">
        <v>783184.47</v>
      </c>
    </row>
    <row r="71" spans="1:14" x14ac:dyDescent="0.4">
      <c r="A71" s="9"/>
      <c r="B71" s="9" t="s">
        <v>148</v>
      </c>
      <c r="C71" s="9"/>
      <c r="D71" s="13"/>
      <c r="E71" s="13"/>
      <c r="F71" s="176"/>
      <c r="G71" s="176"/>
      <c r="H71" s="176"/>
      <c r="I71" s="170"/>
      <c r="J71" s="176"/>
      <c r="K71" s="176"/>
      <c r="L71" s="176"/>
    </row>
    <row r="72" spans="1:14" x14ac:dyDescent="0.4">
      <c r="A72" s="9"/>
      <c r="B72" s="9"/>
      <c r="C72" s="9" t="s">
        <v>204</v>
      </c>
      <c r="D72" s="13"/>
      <c r="E72" s="13"/>
      <c r="F72" s="176">
        <v>2718758.4</v>
      </c>
      <c r="G72" s="176"/>
      <c r="H72" s="176">
        <v>4198579.91</v>
      </c>
      <c r="I72" s="173"/>
      <c r="J72" s="173">
        <v>2718758.4</v>
      </c>
      <c r="K72" s="173"/>
      <c r="L72" s="173">
        <v>4198579.91</v>
      </c>
    </row>
    <row r="73" spans="1:14" x14ac:dyDescent="0.4">
      <c r="A73" s="9"/>
      <c r="B73" s="9"/>
      <c r="C73" s="9" t="s">
        <v>138</v>
      </c>
      <c r="D73" s="13"/>
      <c r="E73" s="13"/>
      <c r="F73" s="176">
        <v>5755301.9800000004</v>
      </c>
      <c r="G73" s="176"/>
      <c r="H73" s="176">
        <v>897660.67</v>
      </c>
      <c r="I73" s="170"/>
      <c r="J73" s="14">
        <v>5720162.1299999999</v>
      </c>
      <c r="K73" s="14"/>
      <c r="L73" s="14">
        <v>822936.56</v>
      </c>
    </row>
    <row r="74" spans="1:14" x14ac:dyDescent="0.4">
      <c r="A74" s="9"/>
      <c r="B74" s="9"/>
      <c r="C74" s="133" t="s">
        <v>150</v>
      </c>
      <c r="D74" s="13"/>
      <c r="E74" s="13"/>
      <c r="F74" s="175">
        <f>SUM(F60:F73)</f>
        <v>365995310.92999995</v>
      </c>
      <c r="G74" s="22"/>
      <c r="H74" s="175">
        <f>SUM(H60:H73)</f>
        <v>407657134.12000006</v>
      </c>
      <c r="I74" s="170"/>
      <c r="J74" s="175">
        <f>SUM(J60:J73)</f>
        <v>400565514.69999993</v>
      </c>
      <c r="K74" s="22"/>
      <c r="L74" s="175">
        <f>SUM(L60:L73)</f>
        <v>424793682.67000008</v>
      </c>
    </row>
    <row r="75" spans="1:14" x14ac:dyDescent="0.4">
      <c r="A75" s="9"/>
      <c r="B75" s="9"/>
      <c r="C75" s="133"/>
      <c r="D75" s="13"/>
      <c r="E75" s="13"/>
      <c r="F75" s="22"/>
      <c r="G75" s="22"/>
      <c r="H75" s="22"/>
      <c r="I75" s="170"/>
      <c r="J75" s="22"/>
      <c r="K75" s="22"/>
      <c r="L75" s="22"/>
    </row>
    <row r="76" spans="1:14" x14ac:dyDescent="0.4">
      <c r="A76" s="133" t="s">
        <v>217</v>
      </c>
      <c r="B76" s="9"/>
      <c r="C76" s="133"/>
      <c r="D76" s="13"/>
      <c r="E76" s="13"/>
      <c r="F76" s="22"/>
      <c r="G76" s="22"/>
      <c r="H76" s="22"/>
      <c r="I76" s="170"/>
      <c r="J76" s="22"/>
      <c r="K76" s="22"/>
      <c r="L76" s="22"/>
    </row>
    <row r="77" spans="1:14" x14ac:dyDescent="0.4">
      <c r="A77" s="133"/>
      <c r="B77" s="9" t="s">
        <v>366</v>
      </c>
      <c r="C77" s="133"/>
      <c r="D77" s="13">
        <v>19</v>
      </c>
      <c r="E77" s="13"/>
      <c r="F77" s="22">
        <v>676203.78</v>
      </c>
      <c r="G77" s="22"/>
      <c r="H77" s="22">
        <v>1274622.74</v>
      </c>
      <c r="I77" s="170"/>
      <c r="J77" s="22">
        <v>676203.78</v>
      </c>
      <c r="K77" s="22"/>
      <c r="L77" s="22">
        <v>1274622.74</v>
      </c>
    </row>
    <row r="78" spans="1:14" x14ac:dyDescent="0.4">
      <c r="A78" s="133"/>
      <c r="B78" s="9" t="s">
        <v>250</v>
      </c>
      <c r="C78" s="133"/>
      <c r="D78" s="13">
        <v>15.3</v>
      </c>
      <c r="E78" s="13"/>
      <c r="F78" s="22">
        <v>0</v>
      </c>
      <c r="G78" s="22"/>
      <c r="H78" s="22">
        <v>0</v>
      </c>
      <c r="I78" s="170"/>
      <c r="J78" s="22">
        <v>0</v>
      </c>
      <c r="K78" s="22"/>
      <c r="L78" s="22">
        <v>0</v>
      </c>
    </row>
    <row r="79" spans="1:14" x14ac:dyDescent="0.4">
      <c r="A79" s="9"/>
      <c r="B79" s="9" t="s">
        <v>328</v>
      </c>
      <c r="C79" s="133"/>
      <c r="D79" s="13">
        <v>20</v>
      </c>
      <c r="E79" s="13"/>
      <c r="F79" s="176">
        <v>35256205</v>
      </c>
      <c r="G79" s="176"/>
      <c r="H79" s="176">
        <v>33197268</v>
      </c>
      <c r="I79" s="14"/>
      <c r="J79" s="14">
        <v>34172325</v>
      </c>
      <c r="K79" s="14"/>
      <c r="L79" s="14">
        <v>31269880</v>
      </c>
      <c r="N79" s="169"/>
    </row>
    <row r="80" spans="1:14" x14ac:dyDescent="0.4">
      <c r="A80" s="9"/>
      <c r="B80" s="9"/>
      <c r="C80" s="133" t="s">
        <v>218</v>
      </c>
      <c r="D80" s="13"/>
      <c r="E80" s="13"/>
      <c r="F80" s="175">
        <f>SUM(F77:F79)</f>
        <v>35932408.780000001</v>
      </c>
      <c r="G80" s="22"/>
      <c r="H80" s="175">
        <f>SUM(H77:H79)</f>
        <v>34471890.740000002</v>
      </c>
      <c r="I80" s="14"/>
      <c r="J80" s="175">
        <f>SUM(J77:J79)</f>
        <v>34848528.780000001</v>
      </c>
      <c r="K80" s="22"/>
      <c r="L80" s="175">
        <f>SUM(L77:L79)</f>
        <v>32544502.739999998</v>
      </c>
    </row>
    <row r="81" spans="1:12" x14ac:dyDescent="0.4">
      <c r="A81" s="9"/>
      <c r="B81" s="9"/>
      <c r="C81" s="133" t="s">
        <v>219</v>
      </c>
      <c r="D81" s="13"/>
      <c r="E81" s="13"/>
      <c r="F81" s="172">
        <f>+F80+F74</f>
        <v>401927719.70999992</v>
      </c>
      <c r="G81" s="22"/>
      <c r="H81" s="172">
        <f>+H80+H74</f>
        <v>442129024.86000007</v>
      </c>
      <c r="I81" s="170"/>
      <c r="J81" s="172">
        <f>+J80+J74</f>
        <v>435414043.4799999</v>
      </c>
      <c r="K81" s="22"/>
      <c r="L81" s="172">
        <f>+L80+L74</f>
        <v>457338185.41000009</v>
      </c>
    </row>
    <row r="82" spans="1:12" x14ac:dyDescent="0.4">
      <c r="A82" s="9"/>
      <c r="B82" s="9"/>
      <c r="C82" s="133"/>
      <c r="D82" s="13"/>
      <c r="E82" s="13"/>
      <c r="F82" s="22"/>
      <c r="G82" s="22"/>
      <c r="H82" s="22"/>
      <c r="I82" s="170"/>
      <c r="J82" s="22"/>
      <c r="K82" s="22"/>
      <c r="L82" s="22"/>
    </row>
    <row r="83" spans="1:12" x14ac:dyDescent="0.4">
      <c r="A83" s="15" t="s">
        <v>298</v>
      </c>
      <c r="B83" s="9"/>
      <c r="C83" s="133"/>
      <c r="D83" s="13"/>
      <c r="E83" s="13"/>
      <c r="F83" s="17"/>
      <c r="G83" s="17"/>
      <c r="H83" s="17"/>
      <c r="I83" s="18"/>
      <c r="J83" s="17"/>
      <c r="K83" s="17"/>
      <c r="L83" s="17"/>
    </row>
    <row r="84" spans="1:12" x14ac:dyDescent="0.4">
      <c r="A84" s="9"/>
      <c r="B84" s="9"/>
      <c r="C84" s="133"/>
      <c r="D84" s="13"/>
      <c r="E84" s="13"/>
      <c r="F84" s="17"/>
      <c r="G84" s="17"/>
      <c r="H84" s="17"/>
      <c r="I84" s="18"/>
      <c r="J84" s="17"/>
      <c r="K84" s="17"/>
      <c r="L84" s="17"/>
    </row>
    <row r="85" spans="1:12" x14ac:dyDescent="0.4">
      <c r="A85" s="9"/>
      <c r="B85" s="9"/>
      <c r="C85" s="133"/>
      <c r="D85" s="13"/>
      <c r="E85" s="13"/>
      <c r="F85" s="17"/>
      <c r="G85" s="17"/>
      <c r="H85" s="17"/>
      <c r="I85" s="18"/>
      <c r="J85" s="17"/>
      <c r="K85" s="17"/>
      <c r="L85" s="17"/>
    </row>
    <row r="86" spans="1:12" x14ac:dyDescent="0.4">
      <c r="A86" s="9"/>
      <c r="B86" s="9"/>
      <c r="C86" s="133"/>
      <c r="D86" s="13"/>
      <c r="E86" s="13"/>
      <c r="F86" s="17"/>
      <c r="G86" s="17"/>
      <c r="H86" s="17"/>
      <c r="I86" s="18"/>
      <c r="J86" s="17"/>
      <c r="K86" s="17"/>
      <c r="L86" s="17"/>
    </row>
    <row r="87" spans="1:12" x14ac:dyDescent="0.4">
      <c r="A87" s="9"/>
      <c r="B87" s="9"/>
      <c r="C87" s="133"/>
      <c r="D87" s="13"/>
      <c r="E87" s="13"/>
      <c r="F87" s="17"/>
      <c r="G87" s="17"/>
      <c r="H87" s="17"/>
      <c r="I87" s="18"/>
      <c r="J87" s="17"/>
      <c r="K87" s="17"/>
      <c r="L87" s="17"/>
    </row>
    <row r="88" spans="1:12" x14ac:dyDescent="0.4">
      <c r="A88" s="138"/>
      <c r="B88" s="9"/>
      <c r="C88" s="9"/>
      <c r="D88" s="13"/>
      <c r="E88" s="13"/>
      <c r="F88" s="13"/>
      <c r="G88" s="13"/>
      <c r="H88" s="13"/>
      <c r="I88" s="9"/>
      <c r="J88" s="17"/>
      <c r="K88" s="17"/>
      <c r="L88" s="17"/>
    </row>
    <row r="89" spans="1:12" x14ac:dyDescent="0.4">
      <c r="A89" s="138"/>
      <c r="B89" s="9"/>
      <c r="C89" s="9"/>
      <c r="D89" s="13"/>
      <c r="E89" s="13"/>
      <c r="F89" s="13"/>
      <c r="G89" s="13"/>
      <c r="H89" s="13"/>
      <c r="I89" s="9"/>
      <c r="J89" s="17"/>
      <c r="K89" s="17"/>
      <c r="L89" s="17"/>
    </row>
    <row r="90" spans="1:12" x14ac:dyDescent="0.4">
      <c r="C90" s="9"/>
      <c r="D90" s="13"/>
      <c r="E90" s="13"/>
      <c r="F90" s="13"/>
      <c r="G90" s="13"/>
      <c r="H90" s="13"/>
      <c r="I90" s="9"/>
      <c r="J90" s="17"/>
      <c r="K90" s="17"/>
      <c r="L90" s="17"/>
    </row>
    <row r="91" spans="1:12" x14ac:dyDescent="0.4">
      <c r="A91" s="13"/>
      <c r="B91" s="25" t="s">
        <v>145</v>
      </c>
      <c r="C91" s="13"/>
      <c r="D91" s="25"/>
      <c r="E91" s="13"/>
      <c r="F91" s="25" t="s">
        <v>145</v>
      </c>
      <c r="G91" s="25"/>
      <c r="H91" s="13"/>
      <c r="I91" s="13"/>
      <c r="J91" s="13"/>
      <c r="K91" s="13"/>
      <c r="L91" s="13"/>
    </row>
    <row r="92" spans="1:12" x14ac:dyDescent="0.4">
      <c r="A92" s="222"/>
      <c r="B92" s="222"/>
      <c r="C92" s="222"/>
      <c r="D92" s="222"/>
      <c r="E92" s="222"/>
      <c r="F92" s="222"/>
      <c r="G92" s="222"/>
      <c r="H92" s="222"/>
      <c r="I92" s="222"/>
      <c r="J92" s="222"/>
      <c r="K92" s="222"/>
      <c r="L92" s="222"/>
    </row>
    <row r="93" spans="1:12" x14ac:dyDescent="0.4">
      <c r="B93" s="25"/>
      <c r="C93" s="13"/>
      <c r="D93" s="25"/>
      <c r="E93" s="25"/>
      <c r="F93" s="25"/>
      <c r="G93" s="25"/>
      <c r="H93" s="13"/>
      <c r="I93" s="25"/>
      <c r="J93" s="25"/>
      <c r="K93" s="25"/>
      <c r="L93" s="25"/>
    </row>
    <row r="94" spans="1:12" x14ac:dyDescent="0.4">
      <c r="A94" s="25"/>
      <c r="B94" s="26"/>
      <c r="C94" s="13"/>
      <c r="D94" s="13"/>
      <c r="E94" s="13"/>
      <c r="F94" s="13"/>
      <c r="G94" s="13"/>
      <c r="H94" s="13"/>
      <c r="I94" s="13"/>
      <c r="J94" s="13"/>
      <c r="K94" s="13"/>
      <c r="L94" s="11"/>
    </row>
    <row r="95" spans="1:12" x14ac:dyDescent="0.4">
      <c r="A95" s="218" t="s">
        <v>131</v>
      </c>
      <c r="B95" s="218"/>
      <c r="C95" s="218"/>
      <c r="D95" s="218"/>
      <c r="E95" s="218"/>
      <c r="F95" s="218"/>
      <c r="G95" s="218"/>
      <c r="H95" s="218"/>
      <c r="I95" s="218"/>
      <c r="J95" s="218"/>
      <c r="K95" s="218"/>
      <c r="L95" s="218"/>
    </row>
    <row r="96" spans="1:12" x14ac:dyDescent="0.4">
      <c r="A96" s="218" t="s">
        <v>230</v>
      </c>
      <c r="B96" s="218"/>
      <c r="C96" s="218"/>
      <c r="D96" s="218"/>
      <c r="E96" s="218"/>
      <c r="F96" s="218"/>
      <c r="G96" s="218"/>
      <c r="H96" s="218"/>
      <c r="I96" s="218"/>
      <c r="J96" s="218"/>
      <c r="K96" s="218"/>
      <c r="L96" s="218"/>
    </row>
    <row r="97" spans="1:12" s="27" customFormat="1" ht="21.75" customHeight="1" x14ac:dyDescent="0.4">
      <c r="A97" s="218" t="str">
        <f>+A52</f>
        <v>AS AT SEPTEMBER 30, 2023</v>
      </c>
      <c r="B97" s="218"/>
      <c r="C97" s="218"/>
      <c r="D97" s="218"/>
      <c r="E97" s="218"/>
      <c r="F97" s="218"/>
      <c r="G97" s="218"/>
      <c r="H97" s="218"/>
      <c r="I97" s="218"/>
      <c r="J97" s="218"/>
      <c r="K97" s="218"/>
      <c r="L97" s="218"/>
    </row>
    <row r="98" spans="1:12" x14ac:dyDescent="0.4">
      <c r="A98" s="9"/>
      <c r="B98" s="9"/>
      <c r="C98" s="9"/>
      <c r="F98" s="220" t="s">
        <v>132</v>
      </c>
      <c r="G98" s="220"/>
      <c r="H98" s="220"/>
      <c r="I98" s="220"/>
      <c r="J98" s="220"/>
      <c r="K98" s="220"/>
      <c r="L98" s="220"/>
    </row>
    <row r="99" spans="1:12" ht="18.75" x14ac:dyDescent="0.4">
      <c r="A99" s="9"/>
      <c r="B99" s="9"/>
      <c r="C99" s="9"/>
      <c r="F99" s="221" t="s">
        <v>198</v>
      </c>
      <c r="G99" s="221"/>
      <c r="H99" s="221"/>
      <c r="I99" s="82"/>
      <c r="J99" s="221" t="s">
        <v>199</v>
      </c>
      <c r="K99" s="221"/>
      <c r="L99" s="221"/>
    </row>
    <row r="100" spans="1:12" x14ac:dyDescent="0.4">
      <c r="A100" s="9"/>
      <c r="B100" s="9"/>
      <c r="C100" s="9"/>
      <c r="D100" s="131" t="s">
        <v>133</v>
      </c>
      <c r="F100" s="132" t="str">
        <f>F55</f>
        <v>September 30, 2023</v>
      </c>
      <c r="H100" s="132" t="str">
        <f>H55</f>
        <v>December 31, 2022</v>
      </c>
      <c r="J100" s="132" t="str">
        <f>J55</f>
        <v>September 30, 2023</v>
      </c>
      <c r="K100" s="6"/>
      <c r="L100" s="132" t="str">
        <f>L55</f>
        <v>December 31, 2022</v>
      </c>
    </row>
    <row r="101" spans="1:12" x14ac:dyDescent="0.4">
      <c r="A101" s="6"/>
      <c r="B101" s="6"/>
      <c r="C101" s="6"/>
      <c r="F101" s="8" t="s">
        <v>307</v>
      </c>
      <c r="G101" s="8"/>
      <c r="H101" s="35" t="s">
        <v>308</v>
      </c>
      <c r="I101" s="15"/>
      <c r="J101" s="8" t="s">
        <v>307</v>
      </c>
      <c r="K101" s="8"/>
      <c r="L101" s="35" t="s">
        <v>308</v>
      </c>
    </row>
    <row r="102" spans="1:12" x14ac:dyDescent="0.4">
      <c r="A102" s="6"/>
      <c r="B102" s="6"/>
      <c r="C102" s="6"/>
      <c r="F102" s="20" t="s">
        <v>309</v>
      </c>
      <c r="G102" s="20"/>
      <c r="H102" s="20"/>
      <c r="I102" s="9"/>
      <c r="J102" s="20" t="s">
        <v>309</v>
      </c>
      <c r="K102" s="20"/>
      <c r="L102" s="20"/>
    </row>
    <row r="103" spans="1:12" x14ac:dyDescent="0.4">
      <c r="A103" s="133" t="s">
        <v>151</v>
      </c>
      <c r="B103" s="9"/>
      <c r="C103" s="9"/>
      <c r="D103" s="13"/>
      <c r="E103" s="13"/>
      <c r="F103" s="28"/>
      <c r="G103" s="28"/>
      <c r="H103" s="29"/>
      <c r="I103" s="9"/>
      <c r="J103" s="28"/>
      <c r="K103" s="28"/>
      <c r="L103" s="28"/>
    </row>
    <row r="104" spans="1:12" x14ac:dyDescent="0.4">
      <c r="A104" s="9"/>
      <c r="B104" s="9" t="s">
        <v>271</v>
      </c>
      <c r="C104" s="9"/>
      <c r="D104" s="13"/>
      <c r="E104" s="13"/>
      <c r="F104" s="173"/>
      <c r="G104" s="173"/>
      <c r="H104" s="173"/>
      <c r="I104" s="170"/>
      <c r="J104" s="22"/>
      <c r="K104" s="22"/>
      <c r="L104" s="14"/>
    </row>
    <row r="105" spans="1:12" x14ac:dyDescent="0.4">
      <c r="A105" s="9"/>
      <c r="B105" s="9" t="s">
        <v>152</v>
      </c>
      <c r="C105" s="9"/>
      <c r="D105" s="13"/>
      <c r="E105" s="13"/>
      <c r="F105" s="173"/>
      <c r="G105" s="173"/>
      <c r="H105" s="173"/>
      <c r="I105" s="170"/>
      <c r="J105" s="22"/>
      <c r="K105" s="22"/>
      <c r="L105" s="14"/>
    </row>
    <row r="106" spans="1:12" ht="18.75" thickBot="1" x14ac:dyDescent="0.45">
      <c r="A106" s="9"/>
      <c r="B106" s="9"/>
      <c r="C106" s="40" t="s">
        <v>355</v>
      </c>
      <c r="D106" s="13">
        <v>21</v>
      </c>
      <c r="E106" s="13"/>
      <c r="F106" s="199">
        <v>0</v>
      </c>
      <c r="G106" s="173"/>
      <c r="H106" s="199">
        <v>1637350330.1199999</v>
      </c>
      <c r="I106" s="170"/>
      <c r="J106" s="199">
        <v>0</v>
      </c>
      <c r="K106" s="173"/>
      <c r="L106" s="199">
        <v>1637350330.1199999</v>
      </c>
    </row>
    <row r="107" spans="1:12" ht="19.5" thickTop="1" thickBot="1" x14ac:dyDescent="0.45">
      <c r="A107" s="9"/>
      <c r="B107" s="9"/>
      <c r="C107" s="40" t="s">
        <v>387</v>
      </c>
      <c r="D107" s="13">
        <v>21</v>
      </c>
      <c r="E107" s="13"/>
      <c r="F107" s="199">
        <v>1644604486.8699999</v>
      </c>
      <c r="G107" s="173"/>
      <c r="H107" s="199">
        <v>0</v>
      </c>
      <c r="I107" s="170"/>
      <c r="J107" s="199">
        <v>1644604486.8699999</v>
      </c>
      <c r="K107" s="173"/>
      <c r="L107" s="199">
        <v>0</v>
      </c>
    </row>
    <row r="108" spans="1:12" ht="18.75" thickTop="1" x14ac:dyDescent="0.4">
      <c r="A108" s="9"/>
      <c r="B108" s="9" t="s">
        <v>187</v>
      </c>
      <c r="C108" s="9"/>
      <c r="D108" s="13"/>
      <c r="E108" s="13"/>
      <c r="F108" s="173"/>
      <c r="G108" s="173"/>
      <c r="H108" s="173"/>
      <c r="I108" s="170"/>
      <c r="J108" s="14"/>
      <c r="K108" s="14"/>
      <c r="L108" s="14"/>
    </row>
    <row r="109" spans="1:12" x14ac:dyDescent="0.4">
      <c r="A109" s="9"/>
      <c r="B109" s="9"/>
      <c r="C109" s="40" t="s">
        <v>388</v>
      </c>
      <c r="D109" s="13">
        <v>21</v>
      </c>
      <c r="E109" s="13"/>
      <c r="F109" s="14">
        <f>+'Changed-Conso'!D43</f>
        <v>1164401069.76</v>
      </c>
      <c r="G109" s="14"/>
      <c r="H109" s="4">
        <v>1164401069.76</v>
      </c>
      <c r="I109" s="14"/>
      <c r="J109" s="14">
        <f>+'Changed-Com'!D39</f>
        <v>1164401069.76</v>
      </c>
      <c r="K109" s="14"/>
      <c r="L109" s="4">
        <v>1164401069.76</v>
      </c>
    </row>
    <row r="110" spans="1:12" x14ac:dyDescent="0.4">
      <c r="A110" s="9"/>
      <c r="B110" s="9" t="s">
        <v>272</v>
      </c>
      <c r="C110" s="37"/>
      <c r="D110" s="13">
        <v>21</v>
      </c>
      <c r="E110" s="13"/>
      <c r="F110" s="14">
        <f>+'Changed-Conso'!H43</f>
        <v>688264273.16999996</v>
      </c>
      <c r="G110" s="14"/>
      <c r="H110" s="14">
        <v>688264273.16999996</v>
      </c>
      <c r="I110" s="170"/>
      <c r="J110" s="14">
        <f>+'Changed-Com'!H39</f>
        <v>688264273.16999996</v>
      </c>
      <c r="K110" s="14"/>
      <c r="L110" s="14">
        <v>688264273.16999996</v>
      </c>
    </row>
    <row r="111" spans="1:12" x14ac:dyDescent="0.4">
      <c r="A111" s="9"/>
      <c r="B111" s="9" t="s">
        <v>312</v>
      </c>
      <c r="C111" s="37"/>
      <c r="D111" s="13">
        <v>22</v>
      </c>
      <c r="E111" s="13"/>
      <c r="F111" s="14">
        <f>+'Changed-Conso'!J43</f>
        <v>0</v>
      </c>
      <c r="G111" s="14"/>
      <c r="H111" s="14">
        <v>0</v>
      </c>
      <c r="I111" s="170"/>
      <c r="J111" s="14">
        <f>+'Changed-Com'!J39</f>
        <v>0</v>
      </c>
      <c r="K111" s="14"/>
      <c r="L111" s="14">
        <v>0</v>
      </c>
    </row>
    <row r="112" spans="1:12" x14ac:dyDescent="0.4">
      <c r="A112" s="9"/>
      <c r="B112" s="9" t="s">
        <v>153</v>
      </c>
      <c r="C112" s="9"/>
      <c r="D112" s="13"/>
      <c r="E112" s="13"/>
      <c r="F112" s="14"/>
      <c r="G112" s="14"/>
      <c r="H112" s="173"/>
      <c r="I112" s="170"/>
      <c r="J112" s="14"/>
      <c r="K112" s="14"/>
      <c r="L112" s="14"/>
    </row>
    <row r="113" spans="1:20" x14ac:dyDescent="0.4">
      <c r="A113" s="9"/>
      <c r="B113" s="9"/>
      <c r="C113" s="9" t="s">
        <v>154</v>
      </c>
      <c r="D113" s="13"/>
      <c r="E113" s="13"/>
      <c r="F113" s="176">
        <f>+'Changed-Conso'!L43</f>
        <v>103052013.31</v>
      </c>
      <c r="G113" s="176"/>
      <c r="H113" s="176">
        <v>101508576.81</v>
      </c>
      <c r="I113" s="170"/>
      <c r="J113" s="176">
        <f>+'Changed-Com'!R39</f>
        <v>103052013.31</v>
      </c>
      <c r="K113" s="176"/>
      <c r="L113" s="176">
        <v>101508576.81</v>
      </c>
    </row>
    <row r="114" spans="1:20" x14ac:dyDescent="0.4">
      <c r="A114" s="9"/>
      <c r="B114" s="9"/>
      <c r="C114" s="9" t="s">
        <v>155</v>
      </c>
      <c r="D114" s="31"/>
      <c r="E114" s="13"/>
      <c r="F114" s="22">
        <f>+'Changed-Conso'!N43</f>
        <v>510775006.55000001</v>
      </c>
      <c r="G114" s="22"/>
      <c r="H114" s="173">
        <v>640369161.44000006</v>
      </c>
      <c r="I114" s="170"/>
      <c r="J114" s="22">
        <f>+'Changed-Com'!T39</f>
        <v>911931506.65999997</v>
      </c>
      <c r="K114" s="22"/>
      <c r="L114" s="22">
        <v>972483609.41999996</v>
      </c>
    </row>
    <row r="115" spans="1:20" x14ac:dyDescent="0.4">
      <c r="A115" s="9"/>
      <c r="B115" s="9" t="s">
        <v>224</v>
      </c>
      <c r="D115" s="3"/>
      <c r="E115" s="3"/>
      <c r="F115" s="172">
        <f>+'Changed-Conso'!T43</f>
        <v>11446506.73</v>
      </c>
      <c r="G115" s="22"/>
      <c r="H115" s="172">
        <v>17740596.210000001</v>
      </c>
      <c r="I115" s="170"/>
      <c r="J115" s="172">
        <v>0</v>
      </c>
      <c r="K115" s="22"/>
      <c r="L115" s="172">
        <v>0</v>
      </c>
    </row>
    <row r="116" spans="1:20" x14ac:dyDescent="0.4">
      <c r="A116" s="9"/>
      <c r="B116" s="9"/>
      <c r="C116" s="9" t="s">
        <v>251</v>
      </c>
      <c r="D116" s="13"/>
      <c r="E116" s="13"/>
      <c r="F116" s="14">
        <f>SUM(F109:F115)</f>
        <v>2477938869.52</v>
      </c>
      <c r="G116" s="14"/>
      <c r="H116" s="14">
        <f>SUM(H109:H115)</f>
        <v>2612283677.3899999</v>
      </c>
      <c r="I116" s="170"/>
      <c r="J116" s="14">
        <f>SUM(J109:J115)</f>
        <v>2867648862.8999996</v>
      </c>
      <c r="K116" s="14"/>
      <c r="L116" s="14">
        <f>SUM(L109:L115)</f>
        <v>2926657529.1599998</v>
      </c>
    </row>
    <row r="117" spans="1:20" x14ac:dyDescent="0.4">
      <c r="A117" s="9"/>
      <c r="B117" s="9" t="s">
        <v>228</v>
      </c>
      <c r="C117" s="9"/>
      <c r="D117" s="13"/>
      <c r="E117" s="13"/>
      <c r="F117" s="184">
        <f>+'Changed-Conso'!X43</f>
        <v>62410408.140000001</v>
      </c>
      <c r="G117" s="173"/>
      <c r="H117" s="184">
        <v>62855854.490000002</v>
      </c>
      <c r="I117" s="170"/>
      <c r="J117" s="172">
        <v>0</v>
      </c>
      <c r="K117" s="22"/>
      <c r="L117" s="172">
        <v>0</v>
      </c>
    </row>
    <row r="118" spans="1:20" x14ac:dyDescent="0.4">
      <c r="A118" s="9"/>
      <c r="B118" s="9"/>
      <c r="C118" s="9" t="s">
        <v>252</v>
      </c>
      <c r="D118" s="13"/>
      <c r="E118" s="13"/>
      <c r="F118" s="14">
        <f>+F117+F116</f>
        <v>2540349277.6599998</v>
      </c>
      <c r="G118" s="14"/>
      <c r="H118" s="14">
        <f>+H117+H116</f>
        <v>2675139531.8799996</v>
      </c>
      <c r="I118" s="170"/>
      <c r="J118" s="14">
        <f>+J117+J116</f>
        <v>2867648862.8999996</v>
      </c>
      <c r="K118" s="14"/>
      <c r="L118" s="14">
        <f>+L117+L116</f>
        <v>2926657529.1599998</v>
      </c>
    </row>
    <row r="119" spans="1:20" ht="18.75" thickBot="1" x14ac:dyDescent="0.45">
      <c r="A119" s="18" t="s">
        <v>156</v>
      </c>
      <c r="B119" s="9"/>
      <c r="C119" s="9"/>
      <c r="D119" s="13"/>
      <c r="E119" s="13"/>
      <c r="F119" s="177">
        <f>+F118+F81</f>
        <v>2942276997.3699999</v>
      </c>
      <c r="G119" s="22"/>
      <c r="H119" s="177">
        <f>+H118+H81</f>
        <v>3117268556.7399998</v>
      </c>
      <c r="I119" s="170"/>
      <c r="J119" s="177">
        <f>+J118+J81</f>
        <v>3303062906.3799996</v>
      </c>
      <c r="K119" s="22"/>
      <c r="L119" s="177">
        <f>+L118+L81</f>
        <v>3383995714.5699997</v>
      </c>
      <c r="N119" s="1"/>
      <c r="P119" s="1"/>
      <c r="R119" s="1"/>
      <c r="T119" s="1"/>
    </row>
    <row r="120" spans="1:20" ht="18.75" thickTop="1" x14ac:dyDescent="0.4">
      <c r="A120" s="9"/>
      <c r="F120" s="185"/>
      <c r="G120" s="185"/>
      <c r="H120" s="185"/>
      <c r="I120" s="169"/>
      <c r="J120" s="4"/>
      <c r="K120" s="4"/>
      <c r="L120" s="4"/>
    </row>
    <row r="121" spans="1:20" x14ac:dyDescent="0.4">
      <c r="A121" s="15" t="s">
        <v>298</v>
      </c>
      <c r="B121" s="9"/>
      <c r="C121" s="9"/>
      <c r="D121" s="13"/>
      <c r="E121" s="13"/>
      <c r="F121" s="22"/>
      <c r="G121" s="22"/>
      <c r="H121" s="22"/>
      <c r="I121" s="170"/>
      <c r="J121" s="22"/>
      <c r="K121" s="22"/>
      <c r="L121" s="22"/>
    </row>
    <row r="122" spans="1:20" x14ac:dyDescent="0.4">
      <c r="A122" s="9"/>
      <c r="B122" s="9"/>
      <c r="C122" s="9"/>
      <c r="D122" s="13"/>
      <c r="E122" s="13"/>
      <c r="F122" s="17"/>
      <c r="G122" s="17"/>
      <c r="H122" s="17"/>
      <c r="I122" s="9"/>
      <c r="J122" s="17"/>
      <c r="K122" s="17"/>
      <c r="L122" s="17"/>
    </row>
    <row r="123" spans="1:20" x14ac:dyDescent="0.4">
      <c r="A123" s="9"/>
      <c r="B123" s="9"/>
      <c r="C123" s="9"/>
      <c r="D123" s="13"/>
      <c r="E123" s="13"/>
      <c r="F123" s="17"/>
      <c r="G123" s="17"/>
      <c r="H123" s="17"/>
      <c r="I123" s="9"/>
      <c r="J123" s="17"/>
      <c r="K123" s="17"/>
      <c r="L123" s="17"/>
    </row>
    <row r="124" spans="1:20" x14ac:dyDescent="0.4">
      <c r="A124" s="9"/>
      <c r="B124" s="9"/>
      <c r="C124" s="9"/>
      <c r="D124" s="13"/>
      <c r="E124" s="13"/>
      <c r="F124" s="17"/>
      <c r="G124" s="17"/>
      <c r="H124" s="17"/>
      <c r="I124" s="9"/>
      <c r="J124" s="17"/>
      <c r="K124" s="17"/>
      <c r="L124" s="17"/>
    </row>
    <row r="125" spans="1:20" x14ac:dyDescent="0.4">
      <c r="A125" s="9"/>
      <c r="B125" s="9"/>
      <c r="C125" s="9"/>
      <c r="D125" s="13"/>
      <c r="E125" s="13"/>
      <c r="F125" s="17"/>
      <c r="G125" s="17"/>
      <c r="H125" s="17"/>
      <c r="I125" s="9"/>
      <c r="J125" s="17"/>
      <c r="K125" s="17"/>
      <c r="L125" s="17"/>
    </row>
    <row r="126" spans="1:20" x14ac:dyDescent="0.4">
      <c r="A126" s="9"/>
      <c r="B126" s="9"/>
      <c r="C126" s="9"/>
      <c r="D126" s="13"/>
      <c r="E126" s="13"/>
      <c r="F126" s="17"/>
      <c r="G126" s="17"/>
      <c r="H126" s="17"/>
      <c r="I126" s="9"/>
      <c r="J126" s="17"/>
      <c r="K126" s="17"/>
      <c r="L126" s="17"/>
    </row>
    <row r="127" spans="1:20" x14ac:dyDescent="0.4">
      <c r="A127" s="9"/>
      <c r="B127" s="9"/>
      <c r="C127" s="9"/>
      <c r="D127" s="13"/>
      <c r="E127" s="13"/>
      <c r="F127" s="17"/>
      <c r="G127" s="17"/>
      <c r="H127" s="17"/>
      <c r="I127" s="9"/>
      <c r="J127" s="17"/>
      <c r="K127" s="17"/>
      <c r="L127" s="17"/>
    </row>
    <row r="128" spans="1:20" x14ac:dyDescent="0.4">
      <c r="A128" s="9"/>
      <c r="B128" s="9"/>
      <c r="C128" s="9"/>
      <c r="D128" s="13"/>
      <c r="E128" s="13"/>
      <c r="F128" s="17"/>
      <c r="G128" s="17"/>
      <c r="H128" s="17"/>
      <c r="I128" s="9"/>
      <c r="J128" s="17"/>
      <c r="K128" s="17"/>
      <c r="L128" s="17"/>
    </row>
    <row r="129" spans="1:12" x14ac:dyDescent="0.4">
      <c r="A129" s="9"/>
      <c r="B129" s="9"/>
      <c r="C129" s="9"/>
      <c r="D129" s="13"/>
      <c r="E129" s="13"/>
      <c r="F129" s="17"/>
      <c r="G129" s="17"/>
      <c r="H129" s="17"/>
      <c r="I129" s="9"/>
      <c r="J129" s="17"/>
      <c r="K129" s="17"/>
      <c r="L129" s="17"/>
    </row>
    <row r="130" spans="1:12" x14ac:dyDescent="0.4">
      <c r="B130" s="9"/>
      <c r="C130" s="9"/>
      <c r="D130" s="13"/>
      <c r="E130" s="13"/>
      <c r="F130" s="13"/>
      <c r="G130" s="13"/>
      <c r="H130" s="13"/>
      <c r="I130" s="9"/>
      <c r="J130" s="17"/>
      <c r="K130" s="17"/>
      <c r="L130" s="17"/>
    </row>
    <row r="131" spans="1:12" x14ac:dyDescent="0.4">
      <c r="A131" s="138"/>
      <c r="B131" s="9"/>
      <c r="C131" s="9"/>
      <c r="D131" s="13"/>
      <c r="E131" s="13"/>
      <c r="F131" s="13"/>
      <c r="G131" s="13"/>
      <c r="H131" s="13"/>
      <c r="I131" s="9"/>
      <c r="J131" s="17"/>
      <c r="K131" s="17"/>
      <c r="L131" s="17"/>
    </row>
    <row r="132" spans="1:12" x14ac:dyDescent="0.4">
      <c r="A132" s="138"/>
      <c r="B132" s="9"/>
      <c r="C132" s="9"/>
      <c r="D132" s="13"/>
      <c r="E132" s="13"/>
      <c r="F132" s="13"/>
      <c r="G132" s="13"/>
      <c r="H132" s="13"/>
      <c r="I132" s="9"/>
      <c r="J132" s="17"/>
      <c r="K132" s="17"/>
      <c r="L132" s="17"/>
    </row>
    <row r="133" spans="1:12" x14ac:dyDescent="0.4">
      <c r="A133" s="138"/>
      <c r="B133" s="9"/>
      <c r="C133" s="9"/>
      <c r="D133" s="13"/>
      <c r="E133" s="13"/>
      <c r="F133" s="13"/>
      <c r="G133" s="13"/>
      <c r="H133" s="13"/>
      <c r="I133" s="9"/>
      <c r="J133" s="17"/>
      <c r="K133" s="17"/>
      <c r="L133" s="17"/>
    </row>
    <row r="134" spans="1:12" x14ac:dyDescent="0.4">
      <c r="A134" s="138"/>
      <c r="B134" s="9"/>
      <c r="C134" s="9"/>
      <c r="D134" s="13"/>
      <c r="E134" s="13"/>
      <c r="F134" s="13"/>
      <c r="G134" s="13"/>
      <c r="H134" s="13"/>
      <c r="I134" s="9"/>
      <c r="J134" s="17"/>
      <c r="K134" s="17"/>
      <c r="L134" s="17"/>
    </row>
    <row r="135" spans="1:12" x14ac:dyDescent="0.4">
      <c r="C135" s="9"/>
      <c r="D135" s="13"/>
      <c r="E135" s="13"/>
      <c r="F135" s="13"/>
      <c r="G135" s="13"/>
      <c r="H135" s="13"/>
      <c r="I135" s="9"/>
      <c r="J135" s="17"/>
      <c r="K135" s="17"/>
      <c r="L135" s="17"/>
    </row>
    <row r="136" spans="1:12" x14ac:dyDescent="0.4">
      <c r="A136" s="13"/>
      <c r="B136" s="25" t="s">
        <v>145</v>
      </c>
      <c r="C136" s="13"/>
      <c r="D136" s="25"/>
      <c r="E136" s="13"/>
      <c r="F136" s="25" t="s">
        <v>145</v>
      </c>
      <c r="G136" s="25"/>
      <c r="H136" s="13"/>
      <c r="I136" s="13"/>
      <c r="J136" s="13"/>
      <c r="K136" s="13"/>
      <c r="L136" s="13"/>
    </row>
    <row r="137" spans="1:12" ht="17.25" customHeight="1" x14ac:dyDescent="0.4">
      <c r="A137" s="222"/>
      <c r="B137" s="222"/>
      <c r="C137" s="222"/>
      <c r="D137" s="222"/>
      <c r="E137" s="222"/>
      <c r="F137" s="222"/>
      <c r="G137" s="222"/>
      <c r="H137" s="222"/>
      <c r="I137" s="222"/>
      <c r="J137" s="222"/>
      <c r="K137" s="222"/>
      <c r="L137" s="222"/>
    </row>
    <row r="138" spans="1:12" x14ac:dyDescent="0.4">
      <c r="A138" s="9"/>
      <c r="B138" s="9"/>
      <c r="C138" s="9"/>
      <c r="D138" s="171" t="s">
        <v>236</v>
      </c>
      <c r="E138" s="13"/>
      <c r="F138" s="22">
        <f>+F119-F41</f>
        <v>0</v>
      </c>
      <c r="G138" s="22"/>
      <c r="H138" s="22">
        <f>+H119-H41</f>
        <v>0</v>
      </c>
      <c r="I138" s="9"/>
      <c r="J138" s="22">
        <f>+J119-J41</f>
        <v>0</v>
      </c>
      <c r="K138" s="22"/>
      <c r="L138" s="22">
        <f>+L119-L41</f>
        <v>0</v>
      </c>
    </row>
  </sheetData>
  <mergeCells count="23">
    <mergeCell ref="F54:H54"/>
    <mergeCell ref="J54:L54"/>
    <mergeCell ref="A47:L47"/>
    <mergeCell ref="A50:L50"/>
    <mergeCell ref="F53:L53"/>
    <mergeCell ref="A51:L51"/>
    <mergeCell ref="A52:L52"/>
    <mergeCell ref="A137:L137"/>
    <mergeCell ref="A96:L96"/>
    <mergeCell ref="F98:L98"/>
    <mergeCell ref="A58:C58"/>
    <mergeCell ref="A92:L92"/>
    <mergeCell ref="A95:L95"/>
    <mergeCell ref="A97:L97"/>
    <mergeCell ref="F99:H99"/>
    <mergeCell ref="J99:L99"/>
    <mergeCell ref="A11:C11"/>
    <mergeCell ref="A5:L5"/>
    <mergeCell ref="A3:L3"/>
    <mergeCell ref="A4:L4"/>
    <mergeCell ref="F6:L6"/>
    <mergeCell ref="F7:H7"/>
    <mergeCell ref="J7:L7"/>
  </mergeCells>
  <phoneticPr fontId="0" type="noConversion"/>
  <pageMargins left="0.61" right="0" top="0.511811023622047" bottom="0.27" header="0.35433070866141703" footer="0"/>
  <pageSetup paperSize="9" orientation="portrait" useFirstPageNumber="1" r:id="rId1"/>
  <headerFooter alignWithMargins="0">
    <oddFooter>&amp;C&amp;"Angsana New,Regular"&amp;12&amp;P</oddFooter>
  </headerFooter>
  <rowBreaks count="2" manualBreakCount="2">
    <brk id="47" max="11" man="1"/>
    <brk id="9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02"/>
  <sheetViews>
    <sheetView view="pageBreakPreview" zoomScaleNormal="100" zoomScaleSheetLayoutView="100" workbookViewId="0">
      <selection activeCell="F16" sqref="F16"/>
    </sheetView>
  </sheetViews>
  <sheetFormatPr defaultColWidth="9.140625" defaultRowHeight="18" x14ac:dyDescent="0.4"/>
  <cols>
    <col min="1" max="2" width="2.7109375" style="3" customWidth="1"/>
    <col min="3" max="3" width="41.5703125" style="3" customWidth="1"/>
    <col min="4" max="4" width="5.42578125" style="6" customWidth="1"/>
    <col min="5" max="5" width="0.85546875" style="6" customWidth="1"/>
    <col min="6" max="6" width="12.7109375" style="6" customWidth="1"/>
    <col min="7" max="7" width="0.85546875" style="6" customWidth="1"/>
    <col min="8" max="8" width="13.42578125" style="6" customWidth="1"/>
    <col min="9" max="9" width="0.85546875" style="3" customWidth="1"/>
    <col min="10" max="10" width="12.85546875" style="5" customWidth="1"/>
    <col min="11" max="11" width="0.85546875" style="3" customWidth="1"/>
    <col min="12" max="12" width="13.5703125" style="5" customWidth="1"/>
    <col min="13" max="13" width="2.7109375" style="3" customWidth="1"/>
    <col min="14" max="14" width="15.7109375" style="3" customWidth="1"/>
    <col min="15" max="15" width="2.7109375" style="3" customWidth="1"/>
    <col min="16" max="16" width="13.85546875" style="3" customWidth="1"/>
    <col min="17" max="17" width="2.7109375" style="3" customWidth="1"/>
    <col min="18" max="18" width="14.5703125" style="3" customWidth="1"/>
    <col min="19" max="19" width="5" style="3" customWidth="1"/>
    <col min="20" max="16384" width="9.140625" style="3"/>
  </cols>
  <sheetData>
    <row r="1" spans="1:14" ht="9" customHeight="1" x14ac:dyDescent="0.4">
      <c r="B1" s="9"/>
      <c r="C1" s="9"/>
      <c r="D1" s="33"/>
      <c r="E1" s="33"/>
      <c r="F1" s="17"/>
      <c r="G1" s="33"/>
      <c r="H1" s="17"/>
      <c r="I1" s="9"/>
      <c r="J1" s="17"/>
      <c r="K1" s="17"/>
      <c r="L1" s="213"/>
    </row>
    <row r="2" spans="1:14" x14ac:dyDescent="0.4">
      <c r="A2" s="219" t="s">
        <v>131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</row>
    <row r="3" spans="1:14" ht="18" customHeight="1" x14ac:dyDescent="0.4">
      <c r="A3" s="218" t="s">
        <v>157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</row>
    <row r="4" spans="1:14" ht="18" customHeight="1" x14ac:dyDescent="0.4">
      <c r="A4" s="218" t="s">
        <v>382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</row>
    <row r="5" spans="1:14" ht="16.5" customHeight="1" x14ac:dyDescent="0.4">
      <c r="A5" s="9"/>
      <c r="B5" s="9"/>
      <c r="C5" s="27"/>
      <c r="F5" s="220" t="s">
        <v>132</v>
      </c>
      <c r="G5" s="220"/>
      <c r="H5" s="220"/>
      <c r="I5" s="220"/>
      <c r="J5" s="220"/>
      <c r="K5" s="220"/>
      <c r="L5" s="220"/>
    </row>
    <row r="6" spans="1:14" ht="18.75" x14ac:dyDescent="0.4">
      <c r="A6" s="9"/>
      <c r="B6" s="9"/>
      <c r="C6" s="9" t="s">
        <v>4</v>
      </c>
      <c r="F6" s="221" t="s">
        <v>198</v>
      </c>
      <c r="G6" s="221"/>
      <c r="H6" s="221"/>
      <c r="I6" s="82"/>
      <c r="J6" s="221" t="s">
        <v>199</v>
      </c>
      <c r="K6" s="221"/>
      <c r="L6" s="221"/>
    </row>
    <row r="7" spans="1:14" x14ac:dyDescent="0.4">
      <c r="A7" s="9"/>
      <c r="B7" s="9"/>
      <c r="C7" s="9"/>
      <c r="F7" s="220" t="s">
        <v>360</v>
      </c>
      <c r="G7" s="220"/>
      <c r="H7" s="220"/>
      <c r="I7" s="220"/>
      <c r="J7" s="220"/>
      <c r="K7" s="220"/>
      <c r="L7" s="220"/>
    </row>
    <row r="8" spans="1:14" x14ac:dyDescent="0.4">
      <c r="A8" s="9"/>
      <c r="B8" s="9"/>
      <c r="C8" s="9"/>
      <c r="D8" s="131" t="s">
        <v>133</v>
      </c>
      <c r="F8" s="131">
        <v>2023</v>
      </c>
      <c r="H8" s="131">
        <v>2022</v>
      </c>
      <c r="I8" s="6"/>
      <c r="J8" s="131">
        <f>+F8</f>
        <v>2023</v>
      </c>
      <c r="K8" s="6"/>
      <c r="L8" s="131">
        <f>+H8</f>
        <v>2022</v>
      </c>
    </row>
    <row r="9" spans="1:14" x14ac:dyDescent="0.4">
      <c r="A9" s="133" t="s">
        <v>158</v>
      </c>
      <c r="B9" s="9"/>
      <c r="C9" s="9"/>
      <c r="D9" s="13"/>
      <c r="E9" s="13"/>
      <c r="F9" s="10"/>
      <c r="G9" s="10"/>
      <c r="H9" s="10"/>
      <c r="I9" s="10"/>
      <c r="J9" s="11"/>
      <c r="K9" s="9"/>
      <c r="L9" s="11"/>
    </row>
    <row r="10" spans="1:14" x14ac:dyDescent="0.4">
      <c r="A10" s="9"/>
      <c r="B10" s="9" t="s">
        <v>220</v>
      </c>
      <c r="C10" s="9"/>
      <c r="D10" s="13"/>
      <c r="E10" s="13"/>
      <c r="F10" s="176">
        <v>40879457.420000002</v>
      </c>
      <c r="G10" s="173"/>
      <c r="H10" s="176">
        <v>52344623.740000002</v>
      </c>
      <c r="I10" s="173"/>
      <c r="J10" s="22">
        <v>42471425.219999999</v>
      </c>
      <c r="K10" s="170"/>
      <c r="L10" s="22">
        <v>19897705.510000002</v>
      </c>
      <c r="M10" s="7"/>
      <c r="N10" s="7"/>
    </row>
    <row r="11" spans="1:14" x14ac:dyDescent="0.4">
      <c r="A11" s="9"/>
      <c r="B11" s="9" t="s">
        <v>343</v>
      </c>
      <c r="C11" s="9"/>
      <c r="D11" s="13">
        <v>6</v>
      </c>
      <c r="E11" s="13"/>
      <c r="F11" s="176">
        <v>0</v>
      </c>
      <c r="G11" s="173"/>
      <c r="H11" s="176">
        <v>111706240.09</v>
      </c>
      <c r="I11" s="173"/>
      <c r="J11" s="14">
        <v>4382.95</v>
      </c>
      <c r="K11" s="170"/>
      <c r="L11" s="14">
        <v>189710.55</v>
      </c>
      <c r="M11" s="7"/>
      <c r="N11" s="7"/>
    </row>
    <row r="12" spans="1:14" x14ac:dyDescent="0.4">
      <c r="A12" s="9"/>
      <c r="B12" s="9" t="s">
        <v>345</v>
      </c>
      <c r="C12" s="9"/>
      <c r="D12" s="13"/>
      <c r="E12" s="13"/>
      <c r="F12" s="176">
        <v>3218558.67</v>
      </c>
      <c r="G12" s="173"/>
      <c r="H12" s="176">
        <v>1956626</v>
      </c>
      <c r="I12" s="173"/>
      <c r="J12" s="14">
        <v>3218558.67</v>
      </c>
      <c r="K12" s="170"/>
      <c r="L12" s="14">
        <v>1956626</v>
      </c>
      <c r="M12" s="7"/>
      <c r="N12" s="7"/>
    </row>
    <row r="13" spans="1:14" x14ac:dyDescent="0.4">
      <c r="A13" s="9"/>
      <c r="B13" s="9" t="s">
        <v>209</v>
      </c>
      <c r="C13" s="9"/>
      <c r="D13" s="13"/>
      <c r="E13" s="13"/>
      <c r="F13" s="176">
        <v>5000000</v>
      </c>
      <c r="G13" s="173"/>
      <c r="H13" s="176">
        <v>4593856.05</v>
      </c>
      <c r="I13" s="173"/>
      <c r="J13" s="14">
        <v>5000000</v>
      </c>
      <c r="K13" s="170"/>
      <c r="L13" s="14">
        <v>3518937.9</v>
      </c>
      <c r="M13" s="7"/>
      <c r="N13" s="7"/>
    </row>
    <row r="14" spans="1:14" x14ac:dyDescent="0.4">
      <c r="A14" s="9"/>
      <c r="B14" s="9" t="s">
        <v>160</v>
      </c>
      <c r="C14" s="9"/>
      <c r="D14" s="13"/>
      <c r="E14" s="13"/>
      <c r="F14" s="176">
        <v>27107168.66</v>
      </c>
      <c r="G14" s="173"/>
      <c r="H14" s="176">
        <v>33821273.609999999</v>
      </c>
      <c r="I14" s="173"/>
      <c r="J14" s="22">
        <v>71552305.469999999</v>
      </c>
      <c r="K14" s="170"/>
      <c r="L14" s="22">
        <v>82915912.719999999</v>
      </c>
      <c r="M14" s="7"/>
      <c r="N14" s="7"/>
    </row>
    <row r="15" spans="1:14" x14ac:dyDescent="0.4">
      <c r="A15" s="9"/>
      <c r="B15" s="9" t="s">
        <v>159</v>
      </c>
      <c r="C15" s="9"/>
      <c r="D15" s="13"/>
      <c r="E15" s="13"/>
      <c r="F15" s="182"/>
      <c r="G15" s="182"/>
      <c r="H15" s="182"/>
      <c r="I15" s="182"/>
      <c r="J15" s="14"/>
      <c r="K15" s="170"/>
      <c r="L15" s="14"/>
      <c r="M15" s="7"/>
      <c r="N15" s="7"/>
    </row>
    <row r="16" spans="1:14" x14ac:dyDescent="0.4">
      <c r="A16" s="9"/>
      <c r="B16" s="9"/>
      <c r="C16" s="9" t="s">
        <v>339</v>
      </c>
      <c r="D16" s="13">
        <v>7</v>
      </c>
      <c r="E16" s="13"/>
      <c r="F16" s="182">
        <v>0</v>
      </c>
      <c r="G16" s="182"/>
      <c r="H16" s="182">
        <v>760000</v>
      </c>
      <c r="I16" s="182"/>
      <c r="J16" s="14">
        <v>0</v>
      </c>
      <c r="K16" s="170"/>
      <c r="L16" s="14">
        <v>760000</v>
      </c>
      <c r="M16" s="7"/>
      <c r="N16" s="7"/>
    </row>
    <row r="17" spans="1:14" x14ac:dyDescent="0.4">
      <c r="A17" s="9"/>
      <c r="B17" s="9"/>
      <c r="C17" s="9" t="s">
        <v>389</v>
      </c>
      <c r="D17" s="13">
        <v>10</v>
      </c>
      <c r="E17" s="13"/>
      <c r="F17" s="182">
        <v>3000100</v>
      </c>
      <c r="G17" s="182"/>
      <c r="H17" s="182">
        <v>0</v>
      </c>
      <c r="I17" s="182"/>
      <c r="J17" s="14">
        <v>3000100</v>
      </c>
      <c r="K17" s="170"/>
      <c r="L17" s="14">
        <v>0</v>
      </c>
      <c r="M17" s="7"/>
      <c r="N17" s="7"/>
    </row>
    <row r="18" spans="1:14" x14ac:dyDescent="0.4">
      <c r="A18" s="9"/>
      <c r="B18" s="9"/>
      <c r="C18" s="9" t="s">
        <v>296</v>
      </c>
      <c r="D18" s="171"/>
      <c r="E18" s="13"/>
      <c r="F18" s="14">
        <v>95117817.140000001</v>
      </c>
      <c r="G18" s="173"/>
      <c r="H18" s="14">
        <v>275210809.25999999</v>
      </c>
      <c r="I18" s="173"/>
      <c r="J18" s="14">
        <v>94828121.829999998</v>
      </c>
      <c r="K18" s="170"/>
      <c r="L18" s="14">
        <v>281016798.97000003</v>
      </c>
      <c r="M18" s="7"/>
      <c r="N18" s="7"/>
    </row>
    <row r="19" spans="1:14" x14ac:dyDescent="0.4">
      <c r="A19" s="9"/>
      <c r="B19" s="9"/>
      <c r="C19" s="9" t="s">
        <v>390</v>
      </c>
      <c r="D19" s="171">
        <v>6</v>
      </c>
      <c r="E19" s="13"/>
      <c r="F19" s="14">
        <v>33706034.810000002</v>
      </c>
      <c r="G19" s="173"/>
      <c r="H19" s="14">
        <v>0</v>
      </c>
      <c r="I19" s="173"/>
      <c r="J19" s="14">
        <v>0</v>
      </c>
      <c r="K19" s="170"/>
      <c r="L19" s="14">
        <v>0</v>
      </c>
      <c r="M19" s="7"/>
      <c r="N19" s="7"/>
    </row>
    <row r="20" spans="1:14" x14ac:dyDescent="0.4">
      <c r="A20" s="9"/>
      <c r="B20" s="9"/>
      <c r="C20" s="9" t="s">
        <v>138</v>
      </c>
      <c r="D20" s="15"/>
      <c r="E20" s="15"/>
      <c r="F20" s="176">
        <v>284702.39</v>
      </c>
      <c r="G20" s="173"/>
      <c r="H20" s="176">
        <v>502178.15</v>
      </c>
      <c r="I20" s="173"/>
      <c r="J20" s="14">
        <v>284674.46999999997</v>
      </c>
      <c r="K20" s="170"/>
      <c r="L20" s="14">
        <v>500827.15</v>
      </c>
      <c r="M20" s="7"/>
      <c r="N20" s="7"/>
    </row>
    <row r="21" spans="1:14" x14ac:dyDescent="0.4">
      <c r="A21" s="9"/>
      <c r="B21" s="9"/>
      <c r="C21" s="9" t="s">
        <v>161</v>
      </c>
      <c r="D21" s="13"/>
      <c r="E21" s="13"/>
      <c r="F21" s="175">
        <f>SUM(F10:F20)</f>
        <v>208313839.08999997</v>
      </c>
      <c r="G21" s="173"/>
      <c r="H21" s="175">
        <f>SUM(H10:H20)</f>
        <v>480895606.89999998</v>
      </c>
      <c r="I21" s="173"/>
      <c r="J21" s="175">
        <f>SUM(J10:J20)</f>
        <v>220359568.60999998</v>
      </c>
      <c r="K21" s="170"/>
      <c r="L21" s="175">
        <f>SUM(L10:L20)</f>
        <v>390756518.80000001</v>
      </c>
      <c r="M21" s="7"/>
      <c r="N21" s="7"/>
    </row>
    <row r="22" spans="1:14" ht="7.5" customHeight="1" x14ac:dyDescent="0.4">
      <c r="A22" s="9"/>
      <c r="B22" s="9"/>
      <c r="C22" s="9"/>
      <c r="D22" s="13"/>
      <c r="E22" s="13"/>
      <c r="F22" s="173"/>
      <c r="G22" s="173"/>
      <c r="H22" s="173"/>
      <c r="I22" s="173"/>
      <c r="J22" s="173"/>
      <c r="K22" s="170"/>
      <c r="L22" s="173"/>
      <c r="M22" s="7"/>
      <c r="N22" s="7"/>
    </row>
    <row r="23" spans="1:14" x14ac:dyDescent="0.4">
      <c r="A23" s="9" t="s">
        <v>162</v>
      </c>
      <c r="B23" s="9"/>
      <c r="C23" s="9"/>
      <c r="D23" s="13"/>
      <c r="E23" s="13"/>
      <c r="F23" s="173"/>
      <c r="G23" s="173"/>
      <c r="H23" s="173"/>
      <c r="I23" s="173"/>
      <c r="J23" s="14"/>
      <c r="K23" s="170"/>
      <c r="L23" s="14"/>
      <c r="M23" s="7"/>
      <c r="N23" s="7"/>
    </row>
    <row r="24" spans="1:14" x14ac:dyDescent="0.4">
      <c r="A24" s="9"/>
      <c r="B24" s="9" t="s">
        <v>242</v>
      </c>
      <c r="C24" s="9"/>
      <c r="D24" s="13"/>
      <c r="E24" s="13"/>
      <c r="F24" s="173">
        <v>46169030.960000001</v>
      </c>
      <c r="G24" s="173"/>
      <c r="H24" s="173">
        <v>53236256.719999999</v>
      </c>
      <c r="I24" s="173"/>
      <c r="J24" s="14">
        <v>47188634.460000001</v>
      </c>
      <c r="K24" s="170"/>
      <c r="L24" s="14">
        <v>39495028.539999999</v>
      </c>
      <c r="M24" s="7"/>
      <c r="N24" s="7"/>
    </row>
    <row r="25" spans="1:14" x14ac:dyDescent="0.4">
      <c r="A25" s="9"/>
      <c r="B25" s="9" t="s">
        <v>205</v>
      </c>
      <c r="C25" s="9"/>
      <c r="D25" s="8"/>
      <c r="E25" s="8"/>
      <c r="F25" s="173">
        <v>77887540.079999998</v>
      </c>
      <c r="G25" s="173"/>
      <c r="H25" s="173">
        <v>67957974.75</v>
      </c>
      <c r="I25" s="173"/>
      <c r="J25" s="14">
        <v>59973777.780000001</v>
      </c>
      <c r="K25" s="170"/>
      <c r="L25" s="14">
        <v>55212628.310000002</v>
      </c>
      <c r="M25" s="7"/>
      <c r="N25" s="7"/>
    </row>
    <row r="26" spans="1:14" x14ac:dyDescent="0.4">
      <c r="A26" s="9"/>
      <c r="B26" s="9" t="s">
        <v>333</v>
      </c>
      <c r="C26" s="9"/>
      <c r="D26" s="13">
        <v>8.4</v>
      </c>
      <c r="E26" s="8"/>
      <c r="F26" s="173">
        <v>62304235.210000001</v>
      </c>
      <c r="G26" s="173"/>
      <c r="H26" s="173">
        <v>93045522.879999995</v>
      </c>
      <c r="I26" s="173"/>
      <c r="J26" s="14">
        <v>29288895.640000001</v>
      </c>
      <c r="K26" s="170"/>
      <c r="L26" s="14">
        <v>44402009.229999997</v>
      </c>
      <c r="M26" s="7"/>
      <c r="N26" s="7"/>
    </row>
    <row r="27" spans="1:14" x14ac:dyDescent="0.4">
      <c r="A27" s="9"/>
      <c r="B27" s="9" t="s">
        <v>391</v>
      </c>
      <c r="C27" s="9"/>
      <c r="D27" s="21">
        <v>6</v>
      </c>
      <c r="E27" s="8"/>
      <c r="F27" s="173">
        <v>10808713.33</v>
      </c>
      <c r="G27" s="173"/>
      <c r="H27" s="173">
        <v>0</v>
      </c>
      <c r="I27" s="173"/>
      <c r="J27" s="14">
        <v>0</v>
      </c>
      <c r="K27" s="170"/>
      <c r="L27" s="14">
        <v>0</v>
      </c>
      <c r="M27" s="7"/>
      <c r="N27" s="7"/>
    </row>
    <row r="28" spans="1:14" x14ac:dyDescent="0.4">
      <c r="A28" s="9"/>
      <c r="B28" s="9" t="s">
        <v>340</v>
      </c>
      <c r="C28" s="9"/>
      <c r="D28" s="21">
        <v>6</v>
      </c>
      <c r="E28" s="8"/>
      <c r="F28" s="173">
        <v>0</v>
      </c>
      <c r="G28" s="173"/>
      <c r="H28" s="173">
        <v>425148786</v>
      </c>
      <c r="I28" s="173"/>
      <c r="J28" s="14">
        <v>17424.52</v>
      </c>
      <c r="K28" s="170"/>
      <c r="L28" s="14">
        <v>79976.23</v>
      </c>
      <c r="M28" s="7"/>
      <c r="N28" s="7"/>
    </row>
    <row r="29" spans="1:14" x14ac:dyDescent="0.4">
      <c r="A29" s="9"/>
      <c r="B29" s="9"/>
      <c r="C29" s="25" t="s">
        <v>336</v>
      </c>
      <c r="D29" s="13"/>
      <c r="E29" s="13"/>
      <c r="F29" s="175">
        <f>SUM(F24:F28)</f>
        <v>197169519.58000001</v>
      </c>
      <c r="G29" s="176"/>
      <c r="H29" s="175">
        <f>SUM(H24:H28)</f>
        <v>639388540.35000002</v>
      </c>
      <c r="I29" s="176"/>
      <c r="J29" s="175">
        <f>SUM(J24:J28)</f>
        <v>136468732.40000001</v>
      </c>
      <c r="K29" s="14"/>
      <c r="L29" s="175">
        <f>SUM(L24:L28)</f>
        <v>139189642.30999997</v>
      </c>
      <c r="M29" s="7"/>
      <c r="N29" s="7"/>
    </row>
    <row r="30" spans="1:14" x14ac:dyDescent="0.4">
      <c r="A30" s="9"/>
      <c r="B30" s="9" t="s">
        <v>334</v>
      </c>
      <c r="C30" s="9"/>
      <c r="D30" s="13"/>
      <c r="E30" s="13"/>
      <c r="F30" s="173">
        <f>+F21-F29</f>
        <v>11144319.509999961</v>
      </c>
      <c r="G30" s="173"/>
      <c r="H30" s="173">
        <f>+H21-H29</f>
        <v>-158492933.45000005</v>
      </c>
      <c r="I30" s="173"/>
      <c r="J30" s="173">
        <f>+J21-J29</f>
        <v>83890836.209999979</v>
      </c>
      <c r="K30" s="170"/>
      <c r="L30" s="173">
        <f>+L21-L29</f>
        <v>251566876.49000004</v>
      </c>
      <c r="M30" s="7"/>
      <c r="N30" s="7"/>
    </row>
    <row r="31" spans="1:14" x14ac:dyDescent="0.4">
      <c r="A31" s="9"/>
      <c r="B31" s="9" t="s">
        <v>206</v>
      </c>
      <c r="C31" s="9"/>
      <c r="D31" s="31"/>
      <c r="E31" s="8"/>
      <c r="F31" s="184">
        <v>8196536.1200000001</v>
      </c>
      <c r="G31" s="173"/>
      <c r="H31" s="184">
        <v>8041513.9500000002</v>
      </c>
      <c r="I31" s="173"/>
      <c r="J31" s="172">
        <v>8778385.4499999993</v>
      </c>
      <c r="K31" s="170"/>
      <c r="L31" s="172">
        <v>8647349.5600000005</v>
      </c>
      <c r="M31" s="7"/>
      <c r="N31" s="7"/>
    </row>
    <row r="32" spans="1:14" x14ac:dyDescent="0.4">
      <c r="A32" s="9" t="s">
        <v>246</v>
      </c>
      <c r="B32" s="9"/>
      <c r="C32" s="9"/>
      <c r="D32" s="33"/>
      <c r="E32" s="33"/>
      <c r="F32" s="14">
        <f>+F30-F31</f>
        <v>2947783.3899999605</v>
      </c>
      <c r="G32" s="176"/>
      <c r="H32" s="14">
        <f>+H30-H31</f>
        <v>-166534447.40000004</v>
      </c>
      <c r="I32" s="176"/>
      <c r="J32" s="14">
        <f>+J30-J31</f>
        <v>75112450.759999976</v>
      </c>
      <c r="K32" s="170"/>
      <c r="L32" s="14">
        <f>+L30-L31</f>
        <v>242919526.93000004</v>
      </c>
      <c r="M32" s="7"/>
      <c r="N32" s="7"/>
    </row>
    <row r="33" spans="1:14" x14ac:dyDescent="0.4">
      <c r="A33" s="9" t="s">
        <v>261</v>
      </c>
      <c r="B33" s="9"/>
      <c r="C33" s="9"/>
      <c r="D33" s="6">
        <v>15.2</v>
      </c>
      <c r="F33" s="186">
        <v>-15006712.99</v>
      </c>
      <c r="G33" s="173"/>
      <c r="H33" s="186">
        <v>-50533936.969999999</v>
      </c>
      <c r="I33" s="173"/>
      <c r="J33" s="172">
        <v>-17683881.879999999</v>
      </c>
      <c r="K33" s="14"/>
      <c r="L33" s="172">
        <v>-53359978.689999998</v>
      </c>
      <c r="M33" s="7"/>
      <c r="N33" s="7"/>
    </row>
    <row r="34" spans="1:14" ht="18.75" thickBot="1" x14ac:dyDescent="0.45">
      <c r="A34" s="18" t="s">
        <v>163</v>
      </c>
      <c r="B34" s="9"/>
      <c r="C34" s="9"/>
      <c r="D34" s="13"/>
      <c r="E34" s="13"/>
      <c r="F34" s="187">
        <f>SUM(F32:F33)</f>
        <v>-12058929.600000039</v>
      </c>
      <c r="G34" s="173"/>
      <c r="H34" s="187">
        <f>SUM(H32:H33)</f>
        <v>-217068384.37000003</v>
      </c>
      <c r="I34" s="173"/>
      <c r="J34" s="187">
        <f>SUM(J32:J33)</f>
        <v>57428568.87999998</v>
      </c>
      <c r="K34" s="14"/>
      <c r="L34" s="187">
        <f>SUM(L32:L33)</f>
        <v>189559548.24000004</v>
      </c>
      <c r="M34" s="7"/>
      <c r="N34" s="7"/>
    </row>
    <row r="35" spans="1:14" ht="6.75" customHeight="1" thickTop="1" x14ac:dyDescent="0.4">
      <c r="A35" s="18"/>
      <c r="B35" s="9"/>
      <c r="C35" s="9"/>
      <c r="D35" s="13"/>
      <c r="E35" s="13"/>
      <c r="F35" s="173"/>
      <c r="G35" s="173"/>
      <c r="H35" s="173"/>
      <c r="I35" s="173"/>
      <c r="J35" s="173"/>
      <c r="K35" s="14"/>
      <c r="L35" s="173"/>
      <c r="M35" s="7"/>
      <c r="N35" s="7"/>
    </row>
    <row r="36" spans="1:14" ht="17.25" customHeight="1" x14ac:dyDescent="0.4">
      <c r="A36" s="202" t="s">
        <v>231</v>
      </c>
      <c r="B36" s="203"/>
      <c r="C36" s="202"/>
      <c r="D36" s="13"/>
      <c r="E36" s="13"/>
      <c r="F36" s="173"/>
      <c r="G36" s="173"/>
      <c r="H36" s="173"/>
      <c r="I36" s="173"/>
      <c r="J36" s="173"/>
      <c r="K36" s="14"/>
      <c r="L36" s="173"/>
      <c r="M36" s="7"/>
      <c r="N36" s="7"/>
    </row>
    <row r="37" spans="1:14" ht="18.75" x14ac:dyDescent="0.4">
      <c r="A37" s="202"/>
      <c r="B37" s="18" t="s">
        <v>232</v>
      </c>
      <c r="C37" s="202"/>
      <c r="D37" s="13"/>
      <c r="E37" s="13"/>
      <c r="F37" s="173">
        <f>+F34-F38</f>
        <v>-11613483.250000039</v>
      </c>
      <c r="G37" s="173"/>
      <c r="H37" s="173">
        <f>+H34-H38</f>
        <v>-216675943.27000004</v>
      </c>
      <c r="I37" s="173"/>
      <c r="J37" s="173">
        <f>J34</f>
        <v>57428568.87999998</v>
      </c>
      <c r="K37" s="173"/>
      <c r="L37" s="173">
        <f>L34</f>
        <v>189559548.24000004</v>
      </c>
      <c r="M37" s="7"/>
      <c r="N37" s="7"/>
    </row>
    <row r="38" spans="1:14" ht="18.75" x14ac:dyDescent="0.4">
      <c r="A38" s="18"/>
      <c r="B38" s="9" t="s">
        <v>228</v>
      </c>
      <c r="C38" s="9"/>
      <c r="D38" s="13"/>
      <c r="E38" s="13"/>
      <c r="F38" s="184">
        <v>-445446.35</v>
      </c>
      <c r="G38" s="22"/>
      <c r="H38" s="184">
        <v>-392441.1</v>
      </c>
      <c r="I38" s="22"/>
      <c r="J38" s="189">
        <v>0</v>
      </c>
      <c r="K38" s="188"/>
      <c r="L38" s="189">
        <v>0</v>
      </c>
      <c r="M38" s="7"/>
      <c r="N38" s="7"/>
    </row>
    <row r="39" spans="1:14" ht="18.75" thickBot="1" x14ac:dyDescent="0.45">
      <c r="A39" s="9"/>
      <c r="B39" s="9"/>
      <c r="C39" s="9"/>
      <c r="D39" s="33"/>
      <c r="E39" s="33"/>
      <c r="F39" s="177">
        <f>SUM(F37:F38)</f>
        <v>-12058929.600000039</v>
      </c>
      <c r="G39" s="176"/>
      <c r="H39" s="177">
        <f>SUM(H37:H38)</f>
        <v>-217068384.37000003</v>
      </c>
      <c r="I39" s="176"/>
      <c r="J39" s="177">
        <f>SUM(J37:J38)</f>
        <v>57428568.87999998</v>
      </c>
      <c r="K39" s="170"/>
      <c r="L39" s="177">
        <f>SUM(L37:L38)</f>
        <v>189559548.24000004</v>
      </c>
      <c r="M39" s="7"/>
      <c r="N39" s="7"/>
    </row>
    <row r="40" spans="1:14" ht="9" customHeight="1" thickTop="1" x14ac:dyDescent="0.4">
      <c r="A40" s="9"/>
      <c r="B40" s="9"/>
      <c r="C40" s="9"/>
      <c r="D40" s="13"/>
      <c r="E40" s="13"/>
      <c r="F40" s="173"/>
      <c r="G40" s="173"/>
      <c r="H40" s="173"/>
      <c r="I40" s="173"/>
      <c r="J40" s="22"/>
      <c r="K40" s="170"/>
      <c r="L40" s="22"/>
      <c r="M40" s="7"/>
      <c r="N40" s="7"/>
    </row>
    <row r="41" spans="1:14" ht="15" customHeight="1" x14ac:dyDescent="0.4">
      <c r="A41" s="18" t="s">
        <v>239</v>
      </c>
      <c r="B41" s="9"/>
      <c r="C41" s="9"/>
      <c r="D41" s="30"/>
      <c r="E41" s="13"/>
      <c r="F41" s="173"/>
      <c r="G41" s="173"/>
      <c r="H41" s="173"/>
      <c r="I41" s="173"/>
      <c r="J41" s="22"/>
      <c r="K41" s="170"/>
      <c r="L41" s="22"/>
      <c r="M41" s="7"/>
      <c r="N41" s="7"/>
    </row>
    <row r="42" spans="1:14" ht="18.75" thickBot="1" x14ac:dyDescent="0.45">
      <c r="A42" s="9"/>
      <c r="B42" s="18" t="s">
        <v>202</v>
      </c>
      <c r="C42" s="9"/>
      <c r="D42" s="13">
        <v>23</v>
      </c>
      <c r="E42" s="13"/>
      <c r="F42" s="214">
        <f>+F37/F43</f>
        <v>-1.2467228380009009E-3</v>
      </c>
      <c r="G42" s="215"/>
      <c r="H42" s="214">
        <f>+H37/H43</f>
        <v>-2.4520113381832458E-2</v>
      </c>
      <c r="I42" s="215"/>
      <c r="J42" s="214">
        <f>+J37/J43</f>
        <v>6.1650330770833591E-3</v>
      </c>
      <c r="K42" s="216"/>
      <c r="L42" s="214">
        <f>+L37/L43</f>
        <v>2.1451489008458301E-2</v>
      </c>
      <c r="M42" s="7"/>
      <c r="N42" s="4"/>
    </row>
    <row r="43" spans="1:14" ht="19.5" thickTop="1" thickBot="1" x14ac:dyDescent="0.45">
      <c r="A43" s="9"/>
      <c r="B43" s="18" t="s">
        <v>164</v>
      </c>
      <c r="C43" s="9"/>
      <c r="D43" s="13"/>
      <c r="E43" s="13"/>
      <c r="F43" s="194">
        <v>9315208558</v>
      </c>
      <c r="G43" s="195"/>
      <c r="H43" s="194">
        <v>8836661556</v>
      </c>
      <c r="I43" s="195"/>
      <c r="J43" s="194">
        <v>9315208558</v>
      </c>
      <c r="K43" s="195"/>
      <c r="L43" s="194">
        <v>8836661556</v>
      </c>
      <c r="M43" s="7"/>
      <c r="N43" s="4"/>
    </row>
    <row r="44" spans="1:14" ht="6.75" customHeight="1" thickTop="1" x14ac:dyDescent="0.4">
      <c r="A44" s="9"/>
      <c r="B44" s="9"/>
      <c r="C44" s="9"/>
      <c r="D44" s="13"/>
      <c r="E44" s="13"/>
      <c r="F44" s="182"/>
      <c r="G44" s="182"/>
      <c r="H44" s="182"/>
      <c r="I44" s="182"/>
      <c r="J44" s="14"/>
      <c r="K44" s="170"/>
      <c r="L44" s="14"/>
      <c r="M44" s="7"/>
      <c r="N44" s="4"/>
    </row>
    <row r="45" spans="1:14" ht="14.45" customHeight="1" x14ac:dyDescent="0.4">
      <c r="A45" s="18" t="s">
        <v>240</v>
      </c>
      <c r="B45" s="9"/>
      <c r="C45" s="9"/>
      <c r="D45" s="30"/>
      <c r="E45" s="13"/>
      <c r="F45" s="173"/>
      <c r="G45" s="173"/>
      <c r="H45" s="173"/>
      <c r="I45" s="173"/>
      <c r="J45" s="22"/>
      <c r="K45" s="170"/>
      <c r="L45" s="22"/>
      <c r="M45" s="7"/>
      <c r="N45" s="7"/>
    </row>
    <row r="46" spans="1:14" ht="18.75" thickBot="1" x14ac:dyDescent="0.45">
      <c r="A46" s="9"/>
      <c r="B46" s="18" t="s">
        <v>202</v>
      </c>
      <c r="C46" s="9"/>
      <c r="D46" s="13">
        <v>23</v>
      </c>
      <c r="E46" s="13"/>
      <c r="F46" s="214">
        <f>+F37/F47</f>
        <v>-1.6041032441426158E-3</v>
      </c>
      <c r="G46" s="215"/>
      <c r="H46" s="214">
        <f>+H37/H47</f>
        <v>-2.3392188800811876E-2</v>
      </c>
      <c r="I46" s="215"/>
      <c r="J46" s="214">
        <f>+J37/J47</f>
        <v>7.9322759299519652E-3</v>
      </c>
      <c r="K46" s="216"/>
      <c r="L46" s="214">
        <f>+L37/L47</f>
        <v>2.0464721069201539E-2</v>
      </c>
      <c r="M46" s="7"/>
      <c r="N46" s="4"/>
    </row>
    <row r="47" spans="1:14" ht="19.5" thickTop="1" thickBot="1" x14ac:dyDescent="0.45">
      <c r="A47" s="9"/>
      <c r="B47" s="18" t="s">
        <v>164</v>
      </c>
      <c r="C47" s="9"/>
      <c r="D47" s="13"/>
      <c r="E47" s="13"/>
      <c r="F47" s="196">
        <v>7239860210</v>
      </c>
      <c r="G47" s="197"/>
      <c r="H47" s="196">
        <v>9262747711</v>
      </c>
      <c r="I47" s="197"/>
      <c r="J47" s="194">
        <v>7239860210</v>
      </c>
      <c r="K47" s="195"/>
      <c r="L47" s="194">
        <v>9262747711</v>
      </c>
      <c r="M47" s="7"/>
      <c r="N47" s="4"/>
    </row>
    <row r="48" spans="1:14" ht="9" customHeight="1" thickTop="1" x14ac:dyDescent="0.4">
      <c r="A48" s="9"/>
      <c r="B48" s="9"/>
      <c r="C48" s="9"/>
      <c r="D48" s="13"/>
      <c r="E48" s="13"/>
      <c r="F48" s="13"/>
      <c r="G48" s="13"/>
      <c r="H48" s="13"/>
      <c r="I48" s="9"/>
      <c r="J48" s="11"/>
      <c r="K48" s="9"/>
      <c r="L48" s="11"/>
      <c r="M48" s="7"/>
      <c r="N48" s="4"/>
    </row>
    <row r="49" spans="1:14" x14ac:dyDescent="0.4">
      <c r="A49" s="15" t="s">
        <v>298</v>
      </c>
      <c r="B49" s="9"/>
      <c r="C49" s="9"/>
      <c r="D49" s="13"/>
      <c r="E49" s="13"/>
      <c r="F49" s="22"/>
      <c r="G49" s="22"/>
      <c r="H49" s="22"/>
      <c r="I49" s="9"/>
      <c r="J49" s="11"/>
      <c r="K49" s="9"/>
      <c r="L49" s="11"/>
      <c r="M49" s="7"/>
      <c r="N49" s="4"/>
    </row>
    <row r="50" spans="1:14" ht="10.5" customHeight="1" x14ac:dyDescent="0.4">
      <c r="A50" s="9"/>
      <c r="B50" s="9"/>
      <c r="C50" s="9"/>
      <c r="D50" s="13"/>
      <c r="E50" s="13"/>
      <c r="F50" s="13"/>
      <c r="G50" s="13"/>
      <c r="H50" s="13"/>
      <c r="I50" s="9"/>
      <c r="J50" s="11"/>
      <c r="K50" s="9"/>
      <c r="L50" s="11"/>
      <c r="M50" s="7"/>
      <c r="N50" s="4"/>
    </row>
    <row r="51" spans="1:14" ht="16.5" customHeight="1" x14ac:dyDescent="0.4">
      <c r="A51" s="9"/>
      <c r="B51" s="9"/>
      <c r="C51" s="9"/>
      <c r="D51" s="13"/>
      <c r="E51" s="13"/>
      <c r="F51" s="13"/>
      <c r="G51" s="13"/>
      <c r="H51" s="13"/>
      <c r="I51" s="9"/>
      <c r="J51" s="11"/>
      <c r="K51" s="9"/>
      <c r="L51" s="11"/>
      <c r="M51" s="7"/>
      <c r="N51" s="4"/>
    </row>
    <row r="52" spans="1:14" x14ac:dyDescent="0.4">
      <c r="A52" s="13"/>
      <c r="B52" s="25" t="s">
        <v>145</v>
      </c>
      <c r="C52" s="13"/>
      <c r="D52" s="25"/>
      <c r="E52" s="13"/>
      <c r="F52" s="25" t="s">
        <v>145</v>
      </c>
      <c r="G52" s="13"/>
      <c r="H52" s="13"/>
      <c r="I52" s="13"/>
      <c r="J52" s="13"/>
      <c r="K52" s="13"/>
      <c r="L52" s="13"/>
    </row>
    <row r="53" spans="1:14" ht="14.25" customHeight="1" x14ac:dyDescent="0.4">
      <c r="A53" s="222">
        <v>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2"/>
    </row>
    <row r="54" spans="1:14" x14ac:dyDescent="0.4">
      <c r="B54" s="9"/>
      <c r="C54" s="9"/>
      <c r="D54" s="33"/>
      <c r="E54" s="33"/>
      <c r="F54" s="17"/>
      <c r="G54" s="33"/>
      <c r="H54" s="17"/>
      <c r="I54" s="9"/>
      <c r="J54" s="17"/>
      <c r="K54" s="17"/>
      <c r="L54" s="213"/>
    </row>
    <row r="55" spans="1:14" x14ac:dyDescent="0.4">
      <c r="A55" s="218" t="str">
        <f>A2</f>
        <v>THE BROOKER GROUP PUBLIC COMPANY LIMITED AND ITS SUBSIDIARIES</v>
      </c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</row>
    <row r="56" spans="1:14" x14ac:dyDescent="0.4">
      <c r="A56" s="218" t="s">
        <v>221</v>
      </c>
      <c r="B56" s="218"/>
      <c r="C56" s="218"/>
      <c r="D56" s="218"/>
      <c r="E56" s="218"/>
      <c r="F56" s="218"/>
      <c r="G56" s="218"/>
      <c r="H56" s="218"/>
      <c r="I56" s="218"/>
      <c r="J56" s="218"/>
      <c r="K56" s="218"/>
      <c r="L56" s="218"/>
    </row>
    <row r="57" spans="1:14" x14ac:dyDescent="0.4">
      <c r="A57" s="218" t="str">
        <f>A4</f>
        <v>FOR  THE NINE-MONTH PERIOD ENDED SEPTEMBER 30, 2023</v>
      </c>
      <c r="B57" s="218"/>
      <c r="C57" s="218"/>
      <c r="D57" s="218"/>
      <c r="E57" s="218"/>
      <c r="F57" s="218"/>
      <c r="G57" s="218"/>
      <c r="H57" s="218"/>
      <c r="I57" s="218"/>
      <c r="J57" s="218"/>
      <c r="K57" s="218"/>
      <c r="L57" s="218"/>
    </row>
    <row r="58" spans="1:14" ht="10.5" customHeight="1" x14ac:dyDescent="0.4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1:14" x14ac:dyDescent="0.4">
      <c r="A59" s="9"/>
      <c r="B59" s="9"/>
      <c r="C59" s="27"/>
      <c r="F59" s="220" t="s">
        <v>132</v>
      </c>
      <c r="G59" s="220"/>
      <c r="H59" s="220"/>
      <c r="I59" s="220"/>
      <c r="J59" s="220"/>
      <c r="K59" s="220"/>
      <c r="L59" s="220"/>
    </row>
    <row r="60" spans="1:14" ht="18.75" x14ac:dyDescent="0.4">
      <c r="A60" s="9"/>
      <c r="B60" s="9"/>
      <c r="C60" s="9" t="s">
        <v>4</v>
      </c>
      <c r="F60" s="221" t="s">
        <v>198</v>
      </c>
      <c r="G60" s="221"/>
      <c r="H60" s="221"/>
      <c r="I60" s="82"/>
      <c r="J60" s="221" t="s">
        <v>199</v>
      </c>
      <c r="K60" s="221"/>
      <c r="L60" s="221"/>
    </row>
    <row r="61" spans="1:14" ht="18.75" customHeight="1" x14ac:dyDescent="0.4">
      <c r="A61" s="9"/>
      <c r="B61" s="9"/>
      <c r="C61" s="9"/>
      <c r="F61" s="220" t="str">
        <f>+F7</f>
        <v>For the nine-month period ended September 30</v>
      </c>
      <c r="G61" s="220"/>
      <c r="H61" s="220"/>
      <c r="I61" s="220"/>
      <c r="J61" s="220"/>
      <c r="K61" s="220"/>
      <c r="L61" s="220"/>
    </row>
    <row r="62" spans="1:14" x14ac:dyDescent="0.4">
      <c r="A62" s="9"/>
      <c r="B62" s="9"/>
      <c r="C62" s="9"/>
      <c r="D62" s="131" t="s">
        <v>133</v>
      </c>
      <c r="F62" s="131">
        <f>+F8</f>
        <v>2023</v>
      </c>
      <c r="H62" s="131">
        <f>+H8</f>
        <v>2022</v>
      </c>
      <c r="J62" s="131">
        <f>+J8</f>
        <v>2023</v>
      </c>
      <c r="K62" s="6"/>
      <c r="L62" s="131">
        <f>+L8</f>
        <v>2022</v>
      </c>
    </row>
    <row r="63" spans="1:14" x14ac:dyDescent="0.4">
      <c r="A63" s="133"/>
      <c r="B63" s="9"/>
      <c r="C63" s="9"/>
      <c r="D63" s="13"/>
      <c r="E63" s="13"/>
      <c r="F63" s="10"/>
      <c r="G63" s="10"/>
      <c r="H63" s="8"/>
      <c r="I63" s="9"/>
      <c r="J63" s="11"/>
      <c r="K63" s="9"/>
      <c r="L63" s="8"/>
    </row>
    <row r="64" spans="1:14" x14ac:dyDescent="0.4">
      <c r="A64" s="9" t="s">
        <v>317</v>
      </c>
      <c r="B64" s="9"/>
      <c r="C64" s="9"/>
      <c r="D64" s="13"/>
      <c r="E64" s="13"/>
      <c r="F64" s="186">
        <f>+F34</f>
        <v>-12058929.600000039</v>
      </c>
      <c r="G64" s="173"/>
      <c r="H64" s="186">
        <f>+H34</f>
        <v>-217068384.37000003</v>
      </c>
      <c r="I64" s="170"/>
      <c r="J64" s="186">
        <f>+J34</f>
        <v>57428568.87999998</v>
      </c>
      <c r="K64" s="170"/>
      <c r="L64" s="186">
        <f>+L34</f>
        <v>189559548.24000004</v>
      </c>
    </row>
    <row r="65" spans="1:12" x14ac:dyDescent="0.4">
      <c r="A65" s="9"/>
      <c r="B65" s="9"/>
      <c r="C65" s="9"/>
      <c r="D65" s="13"/>
      <c r="E65" s="13"/>
      <c r="F65" s="176"/>
      <c r="G65" s="173"/>
      <c r="H65" s="176"/>
      <c r="I65" s="170"/>
      <c r="J65" s="176"/>
      <c r="K65" s="170"/>
      <c r="L65" s="176"/>
    </row>
    <row r="66" spans="1:12" x14ac:dyDescent="0.4">
      <c r="A66" s="9" t="s">
        <v>233</v>
      </c>
      <c r="B66" s="9"/>
      <c r="C66" s="9"/>
      <c r="D66" s="13"/>
      <c r="E66" s="13"/>
      <c r="F66" s="176"/>
      <c r="G66" s="173"/>
      <c r="H66" s="176"/>
      <c r="I66" s="170"/>
      <c r="J66" s="22"/>
      <c r="K66" s="170"/>
      <c r="L66" s="22"/>
    </row>
    <row r="67" spans="1:12" x14ac:dyDescent="0.4">
      <c r="A67" s="9" t="s">
        <v>282</v>
      </c>
      <c r="B67" s="206"/>
      <c r="C67" s="206"/>
      <c r="D67" s="13"/>
      <c r="E67" s="13"/>
      <c r="F67" s="24"/>
      <c r="G67" s="173"/>
      <c r="H67" s="24"/>
      <c r="J67" s="3"/>
      <c r="L67" s="3"/>
    </row>
    <row r="68" spans="1:12" x14ac:dyDescent="0.4">
      <c r="A68" s="206"/>
      <c r="B68" s="9" t="s">
        <v>320</v>
      </c>
      <c r="C68" s="206"/>
      <c r="D68" s="13"/>
      <c r="E68" s="13"/>
      <c r="F68" s="24"/>
      <c r="G68" s="173"/>
      <c r="H68" s="24"/>
      <c r="I68" s="170"/>
      <c r="J68" s="22"/>
      <c r="K68" s="170"/>
      <c r="L68" s="22"/>
    </row>
    <row r="69" spans="1:12" x14ac:dyDescent="0.4">
      <c r="A69" s="9"/>
      <c r="B69" s="157" t="s">
        <v>253</v>
      </c>
      <c r="C69" s="9"/>
      <c r="D69" s="13"/>
      <c r="E69" s="13"/>
      <c r="F69" s="24">
        <v>-6294089.4800000004</v>
      </c>
      <c r="G69" s="173"/>
      <c r="H69" s="24">
        <v>16032320.710000001</v>
      </c>
      <c r="I69" s="170"/>
      <c r="J69" s="22">
        <v>0</v>
      </c>
      <c r="K69" s="170"/>
      <c r="L69" s="22">
        <v>0</v>
      </c>
    </row>
    <row r="70" spans="1:12" ht="5.45" customHeight="1" x14ac:dyDescent="0.4">
      <c r="A70" s="9"/>
      <c r="B70" s="157"/>
      <c r="C70" s="9"/>
      <c r="D70" s="13"/>
      <c r="E70" s="13"/>
      <c r="F70" s="24"/>
      <c r="G70" s="173"/>
      <c r="H70" s="24"/>
      <c r="I70" s="170"/>
      <c r="J70" s="22"/>
      <c r="K70" s="170"/>
      <c r="L70" s="22"/>
    </row>
    <row r="71" spans="1:12" x14ac:dyDescent="0.4">
      <c r="A71" s="9" t="s">
        <v>284</v>
      </c>
      <c r="B71" s="206"/>
      <c r="C71" s="9"/>
      <c r="D71" s="13"/>
      <c r="E71" s="13"/>
      <c r="F71" s="24"/>
      <c r="G71" s="173"/>
      <c r="H71" s="24"/>
      <c r="I71" s="170"/>
      <c r="J71" s="22"/>
      <c r="K71" s="170"/>
      <c r="L71" s="22"/>
    </row>
    <row r="72" spans="1:12" x14ac:dyDescent="0.4">
      <c r="A72" s="206"/>
      <c r="B72" s="9" t="s">
        <v>283</v>
      </c>
      <c r="C72" s="9"/>
      <c r="D72" s="13"/>
      <c r="E72" s="13"/>
      <c r="F72" s="24"/>
      <c r="G72" s="173"/>
      <c r="H72" s="24"/>
      <c r="I72" s="170"/>
      <c r="J72" s="22"/>
      <c r="K72" s="170"/>
      <c r="L72" s="22"/>
    </row>
    <row r="73" spans="1:12" x14ac:dyDescent="0.4">
      <c r="A73" s="9"/>
      <c r="B73" s="9" t="s">
        <v>285</v>
      </c>
      <c r="C73" s="9"/>
      <c r="D73" s="13"/>
      <c r="E73" s="13"/>
      <c r="F73" s="24">
        <v>0</v>
      </c>
      <c r="G73" s="173"/>
      <c r="H73" s="24">
        <v>-287853</v>
      </c>
      <c r="I73" s="170"/>
      <c r="J73" s="22">
        <v>0</v>
      </c>
      <c r="K73" s="170"/>
      <c r="L73" s="22">
        <v>0</v>
      </c>
    </row>
    <row r="74" spans="1:12" x14ac:dyDescent="0.4">
      <c r="A74" s="9"/>
      <c r="B74" s="9" t="s">
        <v>286</v>
      </c>
      <c r="C74" s="9"/>
      <c r="D74" s="13"/>
      <c r="E74" s="13"/>
      <c r="F74" s="186">
        <v>0</v>
      </c>
      <c r="G74" s="173"/>
      <c r="H74" s="186">
        <v>57570.6</v>
      </c>
      <c r="I74" s="170"/>
      <c r="J74" s="172">
        <v>0</v>
      </c>
      <c r="K74" s="170"/>
      <c r="L74" s="172">
        <v>0</v>
      </c>
    </row>
    <row r="75" spans="1:12" x14ac:dyDescent="0.4">
      <c r="A75" s="9" t="s">
        <v>318</v>
      </c>
      <c r="B75" s="9"/>
      <c r="C75" s="9"/>
      <c r="D75" s="13"/>
      <c r="E75" s="13"/>
      <c r="F75" s="190">
        <f>SUM(F68:F74)</f>
        <v>-6294089.4800000004</v>
      </c>
      <c r="G75" s="173"/>
      <c r="H75" s="190">
        <f>SUM(H68:H74)</f>
        <v>15802038.310000001</v>
      </c>
      <c r="I75" s="170"/>
      <c r="J75" s="190">
        <f>SUM(J68:J74)</f>
        <v>0</v>
      </c>
      <c r="K75" s="170"/>
      <c r="L75" s="190">
        <f>SUM(L68:L74)</f>
        <v>0</v>
      </c>
    </row>
    <row r="76" spans="1:12" x14ac:dyDescent="0.4">
      <c r="A76" s="9"/>
      <c r="B76" s="9"/>
      <c r="C76" s="9"/>
      <c r="D76" s="13"/>
      <c r="E76" s="13"/>
      <c r="F76" s="176"/>
      <c r="G76" s="173"/>
      <c r="H76" s="176"/>
      <c r="I76" s="170"/>
      <c r="J76" s="14"/>
      <c r="K76" s="170"/>
      <c r="L76" s="14"/>
    </row>
    <row r="77" spans="1:12" ht="18.75" thickBot="1" x14ac:dyDescent="0.45">
      <c r="A77" s="9" t="s">
        <v>319</v>
      </c>
      <c r="B77" s="9"/>
      <c r="C77" s="9"/>
      <c r="D77" s="13"/>
      <c r="E77" s="13"/>
      <c r="F77" s="183">
        <f>+F64+F75</f>
        <v>-18353019.080000039</v>
      </c>
      <c r="G77" s="173"/>
      <c r="H77" s="183">
        <f>+H64+H75</f>
        <v>-201266346.06000003</v>
      </c>
      <c r="I77" s="170"/>
      <c r="J77" s="183">
        <f>+J64+J75</f>
        <v>57428568.87999998</v>
      </c>
      <c r="K77" s="170"/>
      <c r="L77" s="183">
        <f>+L64+L75</f>
        <v>189559548.24000004</v>
      </c>
    </row>
    <row r="78" spans="1:12" ht="18.75" thickTop="1" x14ac:dyDescent="0.4">
      <c r="A78" s="9"/>
      <c r="B78" s="9"/>
      <c r="C78" s="9"/>
      <c r="D78" s="13"/>
      <c r="E78" s="13"/>
      <c r="F78" s="182"/>
      <c r="G78" s="182"/>
      <c r="H78" s="182"/>
      <c r="I78" s="170"/>
      <c r="J78" s="14"/>
      <c r="K78" s="170"/>
      <c r="L78" s="14"/>
    </row>
    <row r="79" spans="1:12" ht="18.75" x14ac:dyDescent="0.4">
      <c r="A79" s="18" t="s">
        <v>234</v>
      </c>
      <c r="B79" s="18"/>
      <c r="C79" s="18"/>
      <c r="D79" s="159"/>
      <c r="E79" s="160"/>
      <c r="F79" s="189"/>
      <c r="G79" s="191"/>
      <c r="H79" s="189"/>
      <c r="I79" s="188"/>
      <c r="J79" s="189"/>
      <c r="K79" s="191"/>
      <c r="L79" s="189"/>
    </row>
    <row r="80" spans="1:12" ht="18.75" x14ac:dyDescent="0.4">
      <c r="A80" s="18"/>
      <c r="B80" s="18" t="s">
        <v>232</v>
      </c>
      <c r="C80" s="18"/>
      <c r="D80" s="159"/>
      <c r="E80" s="161">
        <v>852812933</v>
      </c>
      <c r="F80" s="24">
        <f>+F77-F81</f>
        <v>-17907572.730000038</v>
      </c>
      <c r="G80" s="173"/>
      <c r="H80" s="24">
        <f>+H77-H81</f>
        <v>-200873904.96000004</v>
      </c>
      <c r="I80" s="173"/>
      <c r="J80" s="24">
        <f>+J77-J81</f>
        <v>57428568.87999998</v>
      </c>
      <c r="K80" s="173"/>
      <c r="L80" s="24">
        <f>+L77-L81</f>
        <v>189559548.24000004</v>
      </c>
    </row>
    <row r="81" spans="1:12" ht="18.75" x14ac:dyDescent="0.4">
      <c r="A81" s="18"/>
      <c r="B81" s="9" t="s">
        <v>228</v>
      </c>
      <c r="C81" s="9"/>
      <c r="D81" s="159"/>
      <c r="E81" s="161">
        <v>-1541152</v>
      </c>
      <c r="F81" s="24">
        <f>+F38</f>
        <v>-445446.35</v>
      </c>
      <c r="G81" s="22"/>
      <c r="H81" s="24">
        <f>+H38</f>
        <v>-392441.1</v>
      </c>
      <c r="I81" s="188"/>
      <c r="J81" s="24">
        <f>+J38</f>
        <v>0</v>
      </c>
      <c r="K81" s="188"/>
      <c r="L81" s="24">
        <f>+L38</f>
        <v>0</v>
      </c>
    </row>
    <row r="82" spans="1:12" ht="19.5" thickBot="1" x14ac:dyDescent="0.45">
      <c r="A82" s="83"/>
      <c r="B82" s="83"/>
      <c r="C82" s="83"/>
      <c r="D82" s="159"/>
      <c r="E82" s="161"/>
      <c r="F82" s="192">
        <f>SUM(F80:F81)</f>
        <v>-18353019.080000039</v>
      </c>
      <c r="G82" s="191"/>
      <c r="H82" s="192">
        <f>SUM(H80:H81)</f>
        <v>-201266346.06000003</v>
      </c>
      <c r="I82" s="191"/>
      <c r="J82" s="192">
        <f>SUM(J80:J81)</f>
        <v>57428568.87999998</v>
      </c>
      <c r="K82" s="191"/>
      <c r="L82" s="192">
        <f>SUM(L80:L81)</f>
        <v>189559548.24000004</v>
      </c>
    </row>
    <row r="83" spans="1:12" ht="19.5" thickTop="1" x14ac:dyDescent="0.4">
      <c r="A83" s="83"/>
      <c r="B83" s="83"/>
      <c r="C83" s="83"/>
      <c r="D83" s="159"/>
      <c r="E83" s="161"/>
      <c r="F83" s="24"/>
      <c r="G83" s="191"/>
      <c r="H83" s="173"/>
      <c r="I83" s="191"/>
      <c r="J83" s="173"/>
      <c r="K83" s="191"/>
      <c r="L83" s="173"/>
    </row>
    <row r="84" spans="1:12" ht="18.75" x14ac:dyDescent="0.4">
      <c r="A84" s="15" t="s">
        <v>258</v>
      </c>
      <c r="B84" s="83"/>
      <c r="C84" s="83"/>
      <c r="D84" s="159"/>
      <c r="E84" s="161"/>
      <c r="F84" s="24"/>
      <c r="G84" s="191"/>
      <c r="H84" s="173"/>
      <c r="I84" s="191"/>
      <c r="J84" s="173"/>
      <c r="K84" s="191"/>
      <c r="L84" s="173"/>
    </row>
    <row r="85" spans="1:12" ht="18.75" x14ac:dyDescent="0.4">
      <c r="A85" s="83"/>
      <c r="B85" s="83"/>
      <c r="C85" s="83"/>
      <c r="D85" s="159"/>
      <c r="E85" s="161"/>
      <c r="F85" s="24"/>
      <c r="G85" s="191"/>
      <c r="H85" s="173"/>
      <c r="I85" s="191"/>
      <c r="J85" s="173"/>
      <c r="K85" s="191"/>
      <c r="L85" s="173"/>
    </row>
    <row r="86" spans="1:12" ht="18.75" x14ac:dyDescent="0.4">
      <c r="A86" s="83"/>
      <c r="B86" s="83"/>
      <c r="C86" s="83"/>
      <c r="D86" s="159"/>
      <c r="E86" s="161"/>
      <c r="F86" s="24"/>
      <c r="G86" s="191"/>
      <c r="H86" s="173"/>
      <c r="I86" s="191"/>
      <c r="J86" s="173"/>
      <c r="K86" s="191"/>
      <c r="L86" s="173"/>
    </row>
    <row r="87" spans="1:12" ht="18.75" x14ac:dyDescent="0.4">
      <c r="A87" s="83"/>
      <c r="B87" s="83"/>
      <c r="C87" s="83"/>
      <c r="D87" s="159"/>
      <c r="E87" s="161"/>
      <c r="F87" s="24"/>
      <c r="G87" s="191"/>
      <c r="H87" s="173"/>
      <c r="I87" s="191"/>
      <c r="J87" s="173"/>
      <c r="K87" s="191"/>
      <c r="L87" s="173"/>
    </row>
    <row r="88" spans="1:12" ht="18.75" x14ac:dyDescent="0.4">
      <c r="A88" s="83"/>
      <c r="B88" s="83"/>
      <c r="C88" s="83"/>
      <c r="D88" s="159"/>
      <c r="E88" s="161"/>
      <c r="F88" s="24"/>
      <c r="G88" s="191"/>
      <c r="H88" s="173"/>
      <c r="I88" s="191"/>
      <c r="J88" s="173"/>
      <c r="K88" s="191"/>
      <c r="L88" s="173"/>
    </row>
    <row r="89" spans="1:12" ht="18.75" x14ac:dyDescent="0.4">
      <c r="A89" s="83"/>
      <c r="B89" s="83"/>
      <c r="C89" s="83"/>
      <c r="D89" s="159"/>
      <c r="E89" s="161"/>
      <c r="F89" s="24"/>
      <c r="G89" s="191"/>
      <c r="H89" s="173"/>
      <c r="I89" s="191"/>
      <c r="J89" s="173"/>
      <c r="K89" s="191"/>
      <c r="L89" s="173"/>
    </row>
    <row r="90" spans="1:12" ht="18.75" x14ac:dyDescent="0.4">
      <c r="A90" s="83"/>
      <c r="B90" s="83"/>
      <c r="C90" s="83"/>
      <c r="D90" s="159"/>
      <c r="E90" s="161"/>
      <c r="F90" s="24"/>
      <c r="G90" s="191"/>
      <c r="H90" s="173"/>
      <c r="I90" s="191"/>
      <c r="J90" s="173"/>
      <c r="K90" s="191"/>
      <c r="L90" s="173"/>
    </row>
    <row r="91" spans="1:12" ht="18.75" x14ac:dyDescent="0.4">
      <c r="A91" s="83"/>
      <c r="B91" s="83"/>
      <c r="C91" s="83"/>
      <c r="D91" s="159"/>
      <c r="E91" s="161"/>
      <c r="F91" s="24"/>
      <c r="G91" s="191"/>
      <c r="H91" s="173"/>
      <c r="I91" s="191"/>
      <c r="J91" s="173"/>
      <c r="K91" s="191"/>
      <c r="L91" s="173"/>
    </row>
    <row r="92" spans="1:12" ht="18.75" x14ac:dyDescent="0.4">
      <c r="A92" s="83"/>
      <c r="B92" s="83"/>
      <c r="C92" s="83"/>
      <c r="D92" s="159"/>
      <c r="E92" s="161"/>
      <c r="F92" s="24"/>
      <c r="G92" s="191"/>
      <c r="H92" s="173"/>
      <c r="I92" s="191"/>
      <c r="J92" s="173"/>
      <c r="K92" s="191"/>
      <c r="L92" s="173"/>
    </row>
    <row r="93" spans="1:12" ht="18.75" x14ac:dyDescent="0.4">
      <c r="A93" s="83"/>
      <c r="B93" s="83"/>
      <c r="C93" s="83"/>
      <c r="D93" s="159"/>
      <c r="E93" s="161"/>
      <c r="F93" s="24"/>
      <c r="G93" s="191"/>
      <c r="H93" s="173"/>
      <c r="I93" s="191"/>
      <c r="J93" s="173"/>
      <c r="K93" s="191"/>
      <c r="L93" s="173"/>
    </row>
    <row r="94" spans="1:12" ht="18.75" x14ac:dyDescent="0.4">
      <c r="A94" s="83"/>
      <c r="B94" s="83"/>
      <c r="C94" s="83"/>
      <c r="D94" s="159"/>
      <c r="E94" s="161"/>
      <c r="F94" s="24"/>
      <c r="G94" s="191"/>
      <c r="H94" s="173"/>
      <c r="I94" s="191"/>
      <c r="J94" s="173"/>
      <c r="K94" s="191"/>
      <c r="L94" s="173"/>
    </row>
    <row r="95" spans="1:12" ht="18.75" x14ac:dyDescent="0.4">
      <c r="A95" s="83"/>
      <c r="B95" s="83"/>
      <c r="C95" s="83"/>
      <c r="D95" s="159"/>
      <c r="E95" s="161"/>
      <c r="F95" s="24"/>
      <c r="G95" s="191"/>
      <c r="H95" s="173"/>
      <c r="I95" s="191"/>
      <c r="J95" s="173"/>
      <c r="K95" s="191"/>
      <c r="L95" s="173"/>
    </row>
    <row r="96" spans="1:12" ht="18.75" x14ac:dyDescent="0.4">
      <c r="A96" s="83"/>
      <c r="B96" s="83"/>
      <c r="C96" s="83"/>
      <c r="D96" s="159"/>
      <c r="E96" s="161"/>
      <c r="F96" s="24"/>
      <c r="G96" s="191"/>
      <c r="H96" s="173"/>
      <c r="I96" s="191"/>
      <c r="J96" s="173"/>
      <c r="K96" s="191"/>
      <c r="L96" s="173"/>
    </row>
    <row r="97" spans="1:12" ht="18.75" x14ac:dyDescent="0.4">
      <c r="A97" s="83"/>
      <c r="B97" s="83"/>
      <c r="C97" s="83"/>
      <c r="D97" s="159"/>
      <c r="E97" s="161"/>
      <c r="F97" s="24"/>
      <c r="G97" s="161"/>
      <c r="H97" s="10"/>
      <c r="I97" s="161"/>
      <c r="J97" s="10"/>
      <c r="K97" s="161"/>
      <c r="L97" s="10"/>
    </row>
    <row r="98" spans="1:12" x14ac:dyDescent="0.4">
      <c r="A98" s="138"/>
      <c r="B98" s="9"/>
      <c r="C98" s="9"/>
      <c r="D98" s="13"/>
      <c r="E98" s="13"/>
      <c r="F98" s="13"/>
      <c r="G98" s="13"/>
      <c r="H98" s="13"/>
      <c r="I98" s="9"/>
      <c r="J98" s="11"/>
      <c r="K98" s="9"/>
      <c r="L98" s="11"/>
    </row>
    <row r="99" spans="1:12" x14ac:dyDescent="0.4">
      <c r="A99" s="9"/>
      <c r="B99" s="9"/>
      <c r="C99" s="9"/>
      <c r="D99" s="13"/>
      <c r="E99" s="13"/>
      <c r="F99" s="13"/>
      <c r="G99" s="13"/>
      <c r="H99" s="13"/>
      <c r="I99" s="9"/>
      <c r="J99" s="11"/>
      <c r="K99" s="9"/>
      <c r="L99" s="11"/>
    </row>
    <row r="100" spans="1:12" x14ac:dyDescent="0.4">
      <c r="A100" s="13"/>
      <c r="B100" s="25" t="s">
        <v>145</v>
      </c>
      <c r="C100" s="13"/>
      <c r="D100" s="25"/>
      <c r="E100" s="13"/>
      <c r="F100" s="25" t="s">
        <v>145</v>
      </c>
      <c r="G100" s="13"/>
      <c r="H100" s="13"/>
      <c r="I100" s="13"/>
      <c r="J100" s="13"/>
      <c r="K100" s="13"/>
      <c r="L100" s="13"/>
    </row>
    <row r="101" spans="1:12" x14ac:dyDescent="0.4">
      <c r="A101" s="222">
        <v>9</v>
      </c>
      <c r="B101" s="222"/>
      <c r="C101" s="222"/>
      <c r="D101" s="222"/>
      <c r="E101" s="222"/>
      <c r="F101" s="222"/>
      <c r="G101" s="222"/>
      <c r="H101" s="222"/>
      <c r="I101" s="222"/>
      <c r="J101" s="222"/>
      <c r="K101" s="222"/>
      <c r="L101" s="222"/>
    </row>
    <row r="102" spans="1:12" ht="10.5" customHeight="1" x14ac:dyDescent="0.4">
      <c r="B102" s="9"/>
      <c r="C102" s="9"/>
      <c r="D102" s="33"/>
      <c r="E102" s="33"/>
      <c r="F102" s="17"/>
      <c r="G102" s="33"/>
      <c r="H102" s="17"/>
      <c r="I102" s="9"/>
      <c r="J102" s="17"/>
      <c r="K102" s="17"/>
      <c r="L102" s="213"/>
    </row>
    <row r="103" spans="1:12" x14ac:dyDescent="0.4">
      <c r="A103" s="219" t="s">
        <v>131</v>
      </c>
      <c r="B103" s="218"/>
      <c r="C103" s="218"/>
      <c r="D103" s="218"/>
      <c r="E103" s="218"/>
      <c r="F103" s="218"/>
      <c r="G103" s="218"/>
      <c r="H103" s="218"/>
      <c r="I103" s="218"/>
      <c r="J103" s="218"/>
      <c r="K103" s="218"/>
      <c r="L103" s="218"/>
    </row>
    <row r="104" spans="1:12" x14ac:dyDescent="0.4">
      <c r="A104" s="218" t="s">
        <v>157</v>
      </c>
      <c r="B104" s="218"/>
      <c r="C104" s="218"/>
      <c r="D104" s="218"/>
      <c r="E104" s="218"/>
      <c r="F104" s="218"/>
      <c r="G104" s="218"/>
      <c r="H104" s="218"/>
      <c r="I104" s="218"/>
      <c r="J104" s="218"/>
      <c r="K104" s="218"/>
      <c r="L104" s="218"/>
    </row>
    <row r="105" spans="1:12" x14ac:dyDescent="0.4">
      <c r="A105" s="218" t="s">
        <v>383</v>
      </c>
      <c r="B105" s="218"/>
      <c r="C105" s="218"/>
      <c r="D105" s="218"/>
      <c r="E105" s="218"/>
      <c r="F105" s="218"/>
      <c r="G105" s="218"/>
      <c r="H105" s="218"/>
      <c r="I105" s="218"/>
      <c r="J105" s="218"/>
      <c r="K105" s="218"/>
      <c r="L105" s="218"/>
    </row>
    <row r="106" spans="1:12" x14ac:dyDescent="0.4">
      <c r="A106" s="9"/>
      <c r="B106" s="9"/>
      <c r="C106" s="27"/>
      <c r="F106" s="220" t="s">
        <v>132</v>
      </c>
      <c r="G106" s="220"/>
      <c r="H106" s="220"/>
      <c r="I106" s="220"/>
      <c r="J106" s="220"/>
      <c r="K106" s="220"/>
      <c r="L106" s="220"/>
    </row>
    <row r="107" spans="1:12" ht="18.75" x14ac:dyDescent="0.4">
      <c r="A107" s="9"/>
      <c r="B107" s="9"/>
      <c r="C107" s="9" t="s">
        <v>4</v>
      </c>
      <c r="F107" s="221" t="s">
        <v>198</v>
      </c>
      <c r="G107" s="221"/>
      <c r="H107" s="221"/>
      <c r="I107" s="82"/>
      <c r="J107" s="221" t="s">
        <v>199</v>
      </c>
      <c r="K107" s="221"/>
      <c r="L107" s="221"/>
    </row>
    <row r="108" spans="1:12" x14ac:dyDescent="0.4">
      <c r="A108" s="9"/>
      <c r="B108" s="9"/>
      <c r="C108" s="9"/>
      <c r="F108" s="220" t="s">
        <v>361</v>
      </c>
      <c r="G108" s="220"/>
      <c r="H108" s="220"/>
      <c r="I108" s="220"/>
      <c r="J108" s="220"/>
      <c r="K108" s="220"/>
      <c r="L108" s="220"/>
    </row>
    <row r="109" spans="1:12" x14ac:dyDescent="0.4">
      <c r="A109" s="9"/>
      <c r="B109" s="9"/>
      <c r="C109" s="9"/>
      <c r="D109" s="131" t="s">
        <v>133</v>
      </c>
      <c r="F109" s="131">
        <v>2023</v>
      </c>
      <c r="H109" s="131">
        <v>2022</v>
      </c>
      <c r="J109" s="131">
        <f>+F109</f>
        <v>2023</v>
      </c>
      <c r="K109" s="6"/>
      <c r="L109" s="131">
        <f>+H109</f>
        <v>2022</v>
      </c>
    </row>
    <row r="110" spans="1:12" x14ac:dyDescent="0.4">
      <c r="A110" s="133" t="s">
        <v>158</v>
      </c>
      <c r="B110" s="9"/>
      <c r="C110" s="9"/>
      <c r="D110" s="13"/>
      <c r="E110" s="13"/>
      <c r="F110" s="10"/>
      <c r="G110" s="10"/>
      <c r="H110" s="10"/>
      <c r="I110" s="9"/>
      <c r="J110" s="11"/>
      <c r="K110" s="9"/>
      <c r="L110" s="11"/>
    </row>
    <row r="111" spans="1:12" x14ac:dyDescent="0.4">
      <c r="A111" s="9"/>
      <c r="B111" s="9" t="s">
        <v>220</v>
      </c>
      <c r="C111" s="9"/>
      <c r="D111" s="13"/>
      <c r="E111" s="13"/>
      <c r="F111" s="176">
        <v>4642857.13</v>
      </c>
      <c r="G111" s="173"/>
      <c r="H111" s="176">
        <v>11227902.91</v>
      </c>
      <c r="I111" s="173"/>
      <c r="J111" s="22">
        <v>7091150.9500000002</v>
      </c>
      <c r="K111" s="170"/>
      <c r="L111" s="22">
        <v>9469345.9600000009</v>
      </c>
    </row>
    <row r="112" spans="1:12" x14ac:dyDescent="0.4">
      <c r="A112" s="9"/>
      <c r="B112" s="9" t="s">
        <v>343</v>
      </c>
      <c r="C112" s="9"/>
      <c r="D112" s="13"/>
      <c r="E112" s="13"/>
      <c r="F112" s="176">
        <v>0</v>
      </c>
      <c r="G112" s="173"/>
      <c r="H112" s="176">
        <v>0</v>
      </c>
      <c r="I112" s="173"/>
      <c r="J112" s="14">
        <v>98.2</v>
      </c>
      <c r="K112" s="170"/>
      <c r="L112" s="14">
        <v>0</v>
      </c>
    </row>
    <row r="113" spans="1:14" x14ac:dyDescent="0.4">
      <c r="A113" s="9"/>
      <c r="B113" s="9" t="s">
        <v>332</v>
      </c>
      <c r="C113" s="9"/>
      <c r="D113" s="13"/>
      <c r="E113" s="13"/>
      <c r="F113" s="176">
        <v>0</v>
      </c>
      <c r="G113" s="173"/>
      <c r="H113" s="176">
        <v>0</v>
      </c>
      <c r="I113" s="173"/>
      <c r="J113" s="14">
        <v>4549689.16</v>
      </c>
      <c r="K113" s="170"/>
      <c r="L113" s="14">
        <v>0</v>
      </c>
    </row>
    <row r="114" spans="1:14" x14ac:dyDescent="0.4">
      <c r="A114" s="9"/>
      <c r="B114" s="9" t="s">
        <v>209</v>
      </c>
      <c r="C114" s="9"/>
      <c r="D114" s="13"/>
      <c r="E114" s="13"/>
      <c r="F114" s="176">
        <v>0</v>
      </c>
      <c r="G114" s="173"/>
      <c r="H114" s="176">
        <v>16809.37</v>
      </c>
      <c r="I114" s="173"/>
      <c r="J114" s="14">
        <v>0</v>
      </c>
      <c r="K114" s="170"/>
      <c r="L114" s="14">
        <v>0</v>
      </c>
    </row>
    <row r="115" spans="1:14" x14ac:dyDescent="0.4">
      <c r="A115" s="9"/>
      <c r="B115" s="9" t="s">
        <v>160</v>
      </c>
      <c r="C115" s="9"/>
      <c r="D115" s="13"/>
      <c r="E115" s="13"/>
      <c r="F115" s="176">
        <v>9084795.6699999999</v>
      </c>
      <c r="G115" s="173"/>
      <c r="H115" s="176">
        <v>10102062.550000001</v>
      </c>
      <c r="I115" s="173"/>
      <c r="J115" s="22">
        <v>24490323.559999999</v>
      </c>
      <c r="K115" s="170"/>
      <c r="L115" s="22">
        <v>27833423.850000001</v>
      </c>
    </row>
    <row r="116" spans="1:14" x14ac:dyDescent="0.4">
      <c r="A116" s="9"/>
      <c r="B116" s="9" t="s">
        <v>159</v>
      </c>
      <c r="C116" s="9"/>
      <c r="D116" s="13"/>
      <c r="E116" s="13"/>
      <c r="F116" s="182"/>
      <c r="G116" s="182"/>
      <c r="H116" s="182"/>
      <c r="I116" s="170"/>
      <c r="J116" s="14"/>
      <c r="K116" s="170"/>
      <c r="L116" s="14"/>
    </row>
    <row r="117" spans="1:14" x14ac:dyDescent="0.4">
      <c r="A117" s="9"/>
      <c r="B117" s="9"/>
      <c r="C117" s="9" t="s">
        <v>362</v>
      </c>
      <c r="D117" s="13"/>
      <c r="E117" s="13"/>
      <c r="F117" s="182">
        <v>0</v>
      </c>
      <c r="G117" s="182"/>
      <c r="H117" s="182">
        <v>9020788.6500000004</v>
      </c>
      <c r="I117" s="182"/>
      <c r="J117" s="14">
        <v>0</v>
      </c>
      <c r="K117" s="170"/>
      <c r="L117" s="14">
        <v>0</v>
      </c>
    </row>
    <row r="118" spans="1:14" x14ac:dyDescent="0.4">
      <c r="A118" s="9"/>
      <c r="B118" s="9"/>
      <c r="C118" s="9" t="s">
        <v>296</v>
      </c>
      <c r="D118" s="171"/>
      <c r="E118" s="13"/>
      <c r="F118" s="14">
        <v>43180562.710000001</v>
      </c>
      <c r="G118" s="173"/>
      <c r="H118" s="14">
        <v>155732464.59999999</v>
      </c>
      <c r="I118" s="173"/>
      <c r="J118" s="14">
        <v>41976547.090000004</v>
      </c>
      <c r="K118" s="170"/>
      <c r="L118" s="14">
        <v>158125981.69999999</v>
      </c>
    </row>
    <row r="119" spans="1:14" x14ac:dyDescent="0.4">
      <c r="A119" s="9"/>
      <c r="B119" s="9"/>
      <c r="C119" s="9" t="s">
        <v>138</v>
      </c>
      <c r="D119" s="15"/>
      <c r="E119" s="15"/>
      <c r="F119" s="176">
        <v>17386.240000000002</v>
      </c>
      <c r="G119" s="173"/>
      <c r="H119" s="176">
        <v>0.09</v>
      </c>
      <c r="I119" s="173"/>
      <c r="J119" s="14">
        <v>17385.98</v>
      </c>
      <c r="K119" s="170"/>
      <c r="L119" s="14">
        <v>0.09</v>
      </c>
    </row>
    <row r="120" spans="1:14" x14ac:dyDescent="0.4">
      <c r="A120" s="9"/>
      <c r="B120" s="9"/>
      <c r="C120" s="9" t="s">
        <v>161</v>
      </c>
      <c r="D120" s="13"/>
      <c r="E120" s="13"/>
      <c r="F120" s="175">
        <f>SUM(F111:F119)</f>
        <v>56925601.750000007</v>
      </c>
      <c r="G120" s="173"/>
      <c r="H120" s="175">
        <f>SUM(H111:H119)</f>
        <v>186100028.16999999</v>
      </c>
      <c r="I120" s="170"/>
      <c r="J120" s="175">
        <f>SUM(J111:J119)</f>
        <v>78125194.940000013</v>
      </c>
      <c r="K120" s="170"/>
      <c r="L120" s="175">
        <f>SUM(L111:L119)</f>
        <v>195428751.59999999</v>
      </c>
    </row>
    <row r="121" spans="1:14" ht="9.75" customHeight="1" x14ac:dyDescent="0.4">
      <c r="A121" s="9"/>
      <c r="B121" s="9"/>
      <c r="C121" s="9"/>
      <c r="D121" s="13"/>
      <c r="E121" s="13"/>
      <c r="F121" s="173"/>
      <c r="G121" s="173"/>
      <c r="H121" s="173"/>
      <c r="I121" s="170"/>
      <c r="J121" s="173"/>
      <c r="K121" s="170"/>
      <c r="L121" s="173"/>
    </row>
    <row r="122" spans="1:14" x14ac:dyDescent="0.4">
      <c r="A122" s="9" t="s">
        <v>162</v>
      </c>
      <c r="B122" s="9"/>
      <c r="C122" s="9"/>
      <c r="D122" s="13"/>
      <c r="E122" s="13"/>
      <c r="F122" s="173"/>
      <c r="G122" s="173"/>
      <c r="H122" s="173"/>
      <c r="I122" s="170"/>
      <c r="J122" s="14"/>
      <c r="K122" s="170"/>
      <c r="L122" s="14"/>
    </row>
    <row r="123" spans="1:14" x14ac:dyDescent="0.4">
      <c r="A123" s="9"/>
      <c r="B123" s="9" t="s">
        <v>242</v>
      </c>
      <c r="C123" s="9"/>
      <c r="D123" s="13"/>
      <c r="E123" s="13"/>
      <c r="F123" s="173">
        <v>16307263.18</v>
      </c>
      <c r="G123" s="173"/>
      <c r="H123" s="173">
        <v>14817054.33</v>
      </c>
      <c r="I123" s="173"/>
      <c r="J123" s="14">
        <v>15794016.01</v>
      </c>
      <c r="K123" s="170"/>
      <c r="L123" s="14">
        <v>13338272.4</v>
      </c>
    </row>
    <row r="124" spans="1:14" x14ac:dyDescent="0.4">
      <c r="A124" s="9"/>
      <c r="B124" s="9" t="s">
        <v>205</v>
      </c>
      <c r="C124" s="9"/>
      <c r="D124" s="8"/>
      <c r="E124" s="8"/>
      <c r="F124" s="173">
        <v>25692546.07</v>
      </c>
      <c r="G124" s="173"/>
      <c r="H124" s="173">
        <v>19483980.809999999</v>
      </c>
      <c r="I124" s="173"/>
      <c r="J124" s="14">
        <v>20263399.68</v>
      </c>
      <c r="K124" s="170"/>
      <c r="L124" s="14">
        <v>13376662.470000001</v>
      </c>
    </row>
    <row r="125" spans="1:14" x14ac:dyDescent="0.4">
      <c r="A125" s="9"/>
      <c r="B125" s="9" t="s">
        <v>333</v>
      </c>
      <c r="C125" s="9"/>
      <c r="D125" s="13"/>
      <c r="E125" s="8"/>
      <c r="F125" s="173">
        <v>7755516.9000000004</v>
      </c>
      <c r="G125" s="173"/>
      <c r="H125" s="173">
        <v>616590.62</v>
      </c>
      <c r="I125" s="170"/>
      <c r="J125" s="14">
        <v>0</v>
      </c>
      <c r="K125" s="170"/>
      <c r="L125" s="14">
        <v>2290220.44</v>
      </c>
    </row>
    <row r="126" spans="1:14" x14ac:dyDescent="0.4">
      <c r="A126" s="9"/>
      <c r="B126" s="9" t="s">
        <v>344</v>
      </c>
      <c r="C126" s="9"/>
      <c r="D126" s="8"/>
      <c r="E126" s="8"/>
      <c r="F126" s="173">
        <v>0</v>
      </c>
      <c r="G126" s="173"/>
      <c r="H126" s="173">
        <v>9500</v>
      </c>
      <c r="I126" s="170"/>
      <c r="J126" s="14">
        <v>0</v>
      </c>
      <c r="K126" s="170"/>
      <c r="L126" s="14">
        <v>9500</v>
      </c>
    </row>
    <row r="127" spans="1:14" x14ac:dyDescent="0.4">
      <c r="A127" s="9"/>
      <c r="B127" s="9" t="s">
        <v>391</v>
      </c>
      <c r="C127" s="9"/>
      <c r="D127" s="21">
        <v>6</v>
      </c>
      <c r="E127" s="8"/>
      <c r="F127" s="173">
        <v>9902392.7599999998</v>
      </c>
      <c r="G127" s="173"/>
      <c r="H127" s="173">
        <v>4029769.57</v>
      </c>
      <c r="I127" s="170"/>
      <c r="J127" s="14">
        <v>0</v>
      </c>
      <c r="K127" s="170"/>
      <c r="L127" s="14">
        <v>8261.58</v>
      </c>
    </row>
    <row r="128" spans="1:14" x14ac:dyDescent="0.4">
      <c r="A128" s="9"/>
      <c r="B128" s="9" t="s">
        <v>340</v>
      </c>
      <c r="C128" s="9"/>
      <c r="D128" s="21">
        <v>6</v>
      </c>
      <c r="E128" s="8"/>
      <c r="F128" s="173">
        <v>65018524.399999999</v>
      </c>
      <c r="G128" s="173"/>
      <c r="H128" s="173">
        <v>7488.1</v>
      </c>
      <c r="I128" s="170"/>
      <c r="J128" s="14">
        <v>94290.7</v>
      </c>
      <c r="K128" s="170"/>
      <c r="L128" s="14">
        <v>7488.1</v>
      </c>
      <c r="M128" s="7"/>
      <c r="N128" s="7"/>
    </row>
    <row r="129" spans="1:12" x14ac:dyDescent="0.4">
      <c r="A129" s="9"/>
      <c r="B129" s="9"/>
      <c r="C129" s="25" t="s">
        <v>336</v>
      </c>
      <c r="D129" s="13"/>
      <c r="E129" s="13"/>
      <c r="F129" s="175">
        <f>SUM(F123:F128)</f>
        <v>124676243.31</v>
      </c>
      <c r="G129" s="176"/>
      <c r="H129" s="175">
        <f>SUM(H123:H128)</f>
        <v>38964383.43</v>
      </c>
      <c r="I129" s="14"/>
      <c r="J129" s="175">
        <f>SUM(J123:J128)</f>
        <v>36151706.390000001</v>
      </c>
      <c r="K129" s="14"/>
      <c r="L129" s="175">
        <f>SUM(L123:L128)</f>
        <v>29030404.990000002</v>
      </c>
    </row>
    <row r="130" spans="1:12" x14ac:dyDescent="0.4">
      <c r="A130" s="9"/>
      <c r="B130" s="9" t="s">
        <v>334</v>
      </c>
      <c r="C130" s="9"/>
      <c r="D130" s="13"/>
      <c r="E130" s="13"/>
      <c r="F130" s="173">
        <f>+F120-F129</f>
        <v>-67750641.560000002</v>
      </c>
      <c r="G130" s="173"/>
      <c r="H130" s="173">
        <f>+H120-H129</f>
        <v>147135644.73999998</v>
      </c>
      <c r="I130" s="170"/>
      <c r="J130" s="173">
        <f>+J120-J129</f>
        <v>41973488.550000012</v>
      </c>
      <c r="K130" s="170"/>
      <c r="L130" s="173">
        <f>+L120-L129</f>
        <v>166398346.60999998</v>
      </c>
    </row>
    <row r="131" spans="1:12" x14ac:dyDescent="0.4">
      <c r="A131" s="9"/>
      <c r="B131" s="9" t="s">
        <v>206</v>
      </c>
      <c r="C131" s="9"/>
      <c r="D131" s="31"/>
      <c r="E131" s="8"/>
      <c r="F131" s="184">
        <v>2977093.64</v>
      </c>
      <c r="G131" s="173"/>
      <c r="H131" s="184">
        <v>2809013.99</v>
      </c>
      <c r="I131" s="170"/>
      <c r="J131" s="172">
        <v>3187025.15</v>
      </c>
      <c r="K131" s="170"/>
      <c r="L131" s="172">
        <v>3013178.37</v>
      </c>
    </row>
    <row r="132" spans="1:12" x14ac:dyDescent="0.4">
      <c r="A132" s="9" t="s">
        <v>246</v>
      </c>
      <c r="B132" s="9"/>
      <c r="C132" s="9"/>
      <c r="D132" s="33"/>
      <c r="E132" s="33"/>
      <c r="F132" s="14">
        <f>+F130-F131</f>
        <v>-70727735.200000003</v>
      </c>
      <c r="G132" s="176"/>
      <c r="H132" s="14">
        <f>+H130-H131</f>
        <v>144326630.74999997</v>
      </c>
      <c r="I132" s="170"/>
      <c r="J132" s="14">
        <f>+J130-J131</f>
        <v>38786463.400000013</v>
      </c>
      <c r="K132" s="170"/>
      <c r="L132" s="14">
        <f>+L130-L131</f>
        <v>163385168.23999998</v>
      </c>
    </row>
    <row r="133" spans="1:12" x14ac:dyDescent="0.4">
      <c r="A133" s="9" t="s">
        <v>261</v>
      </c>
      <c r="B133" s="9"/>
      <c r="C133" s="9"/>
      <c r="D133" s="6">
        <v>15.2</v>
      </c>
      <c r="F133" s="186">
        <v>-13501475.02</v>
      </c>
      <c r="G133" s="173"/>
      <c r="H133" s="186">
        <v>-49286040.100000001</v>
      </c>
      <c r="I133" s="170"/>
      <c r="J133" s="172">
        <v>-12226624.57</v>
      </c>
      <c r="K133" s="14"/>
      <c r="L133" s="172">
        <v>-49891698.549999997</v>
      </c>
    </row>
    <row r="134" spans="1:12" ht="18.75" thickBot="1" x14ac:dyDescent="0.45">
      <c r="A134" s="18" t="s">
        <v>163</v>
      </c>
      <c r="B134" s="9"/>
      <c r="C134" s="9"/>
      <c r="D134" s="13"/>
      <c r="E134" s="13"/>
      <c r="F134" s="187">
        <f>SUM(F132:F133)</f>
        <v>-84229210.219999999</v>
      </c>
      <c r="G134" s="173"/>
      <c r="H134" s="187">
        <f>SUM(H132:H133)</f>
        <v>95040590.649999976</v>
      </c>
      <c r="I134" s="170"/>
      <c r="J134" s="187">
        <f>SUM(J132:J133)</f>
        <v>26559838.830000013</v>
      </c>
      <c r="K134" s="14"/>
      <c r="L134" s="187">
        <f>SUM(L132:L133)</f>
        <v>113493469.68999998</v>
      </c>
    </row>
    <row r="135" spans="1:12" ht="6.75" customHeight="1" thickTop="1" x14ac:dyDescent="0.4">
      <c r="A135" s="18"/>
      <c r="B135" s="9"/>
      <c r="C135" s="9"/>
      <c r="D135" s="13"/>
      <c r="E135" s="13"/>
      <c r="F135" s="173"/>
      <c r="G135" s="173"/>
      <c r="H135" s="173"/>
      <c r="I135" s="170"/>
      <c r="J135" s="173"/>
      <c r="K135" s="14"/>
      <c r="L135" s="173"/>
    </row>
    <row r="136" spans="1:12" ht="18.75" x14ac:dyDescent="0.4">
      <c r="A136" s="202" t="s">
        <v>231</v>
      </c>
      <c r="B136" s="203"/>
      <c r="C136" s="202"/>
      <c r="D136" s="13"/>
      <c r="E136" s="13"/>
      <c r="F136" s="173"/>
      <c r="G136" s="173"/>
      <c r="H136" s="173"/>
      <c r="I136" s="170"/>
      <c r="J136" s="173"/>
      <c r="K136" s="14"/>
      <c r="L136" s="173"/>
    </row>
    <row r="137" spans="1:12" ht="18.75" x14ac:dyDescent="0.4">
      <c r="A137" s="202"/>
      <c r="B137" s="18" t="s">
        <v>232</v>
      </c>
      <c r="C137" s="202"/>
      <c r="D137" s="13"/>
      <c r="E137" s="13"/>
      <c r="F137" s="173">
        <f>+F134-F138</f>
        <v>-84157472.450000003</v>
      </c>
      <c r="G137" s="173"/>
      <c r="H137" s="173">
        <f>+H134-H138</f>
        <v>95134284.209999979</v>
      </c>
      <c r="I137" s="173"/>
      <c r="J137" s="173">
        <f>J134</f>
        <v>26559838.830000013</v>
      </c>
      <c r="K137" s="173"/>
      <c r="L137" s="173">
        <f>L134</f>
        <v>113493469.68999998</v>
      </c>
    </row>
    <row r="138" spans="1:12" ht="18.75" x14ac:dyDescent="0.4">
      <c r="A138" s="18"/>
      <c r="B138" s="9" t="s">
        <v>228</v>
      </c>
      <c r="C138" s="9"/>
      <c r="D138" s="13"/>
      <c r="E138" s="13"/>
      <c r="F138" s="184">
        <v>-71737.77</v>
      </c>
      <c r="G138" s="22"/>
      <c r="H138" s="184">
        <v>-93693.56</v>
      </c>
      <c r="I138" s="188"/>
      <c r="J138" s="189">
        <v>0</v>
      </c>
      <c r="K138" s="188"/>
      <c r="L138" s="189">
        <v>0</v>
      </c>
    </row>
    <row r="139" spans="1:12" ht="18.75" thickBot="1" x14ac:dyDescent="0.45">
      <c r="A139" s="9"/>
      <c r="B139" s="9"/>
      <c r="C139" s="9"/>
      <c r="D139" s="33"/>
      <c r="E139" s="33"/>
      <c r="F139" s="177">
        <f>SUM(F137:F138)</f>
        <v>-84229210.219999999</v>
      </c>
      <c r="G139" s="176"/>
      <c r="H139" s="177">
        <f>SUM(H137:H138)</f>
        <v>95040590.649999976</v>
      </c>
      <c r="I139" s="170"/>
      <c r="J139" s="177">
        <f>SUM(J137:J138)</f>
        <v>26559838.830000013</v>
      </c>
      <c r="K139" s="170"/>
      <c r="L139" s="177">
        <f>SUM(L137:L138)</f>
        <v>113493469.68999998</v>
      </c>
    </row>
    <row r="140" spans="1:12" ht="5.25" customHeight="1" thickTop="1" x14ac:dyDescent="0.4">
      <c r="A140" s="9"/>
      <c r="B140" s="9"/>
      <c r="C140" s="9"/>
      <c r="D140" s="13"/>
      <c r="E140" s="13"/>
      <c r="F140" s="173"/>
      <c r="G140" s="173"/>
      <c r="H140" s="173"/>
      <c r="I140" s="170"/>
      <c r="J140" s="22"/>
      <c r="K140" s="170"/>
      <c r="L140" s="22"/>
    </row>
    <row r="141" spans="1:12" x14ac:dyDescent="0.4">
      <c r="A141" s="18" t="s">
        <v>239</v>
      </c>
      <c r="B141" s="9"/>
      <c r="C141" s="9"/>
      <c r="D141" s="30"/>
      <c r="E141" s="13"/>
      <c r="F141" s="173"/>
      <c r="G141" s="173"/>
      <c r="H141" s="173"/>
      <c r="I141" s="170"/>
      <c r="J141" s="22"/>
      <c r="K141" s="170"/>
      <c r="L141" s="22"/>
    </row>
    <row r="142" spans="1:12" ht="18.75" thickBot="1" x14ac:dyDescent="0.45">
      <c r="A142" s="9"/>
      <c r="B142" s="18" t="s">
        <v>202</v>
      </c>
      <c r="C142" s="9"/>
      <c r="D142" s="13">
        <v>23</v>
      </c>
      <c r="E142" s="13"/>
      <c r="F142" s="214">
        <f>+F137/F143</f>
        <v>-9.0344163446265165E-3</v>
      </c>
      <c r="G142" s="215"/>
      <c r="H142" s="214">
        <f>+H137/H143</f>
        <v>1.0212791653311685E-2</v>
      </c>
      <c r="I142" s="216"/>
      <c r="J142" s="214">
        <f>+J137/J143</f>
        <v>2.8512339433549388E-3</v>
      </c>
      <c r="K142" s="216"/>
      <c r="L142" s="214">
        <f>+L137/L143</f>
        <v>1.218367457726221E-2</v>
      </c>
    </row>
    <row r="143" spans="1:12" ht="19.5" thickTop="1" thickBot="1" x14ac:dyDescent="0.45">
      <c r="A143" s="9"/>
      <c r="B143" s="18" t="s">
        <v>164</v>
      </c>
      <c r="C143" s="9"/>
      <c r="D143" s="13"/>
      <c r="E143" s="13"/>
      <c r="F143" s="194">
        <v>9315208558</v>
      </c>
      <c r="G143" s="195"/>
      <c r="H143" s="194">
        <v>9315208558</v>
      </c>
      <c r="I143" s="195"/>
      <c r="J143" s="194">
        <v>9315208558</v>
      </c>
      <c r="K143" s="195"/>
      <c r="L143" s="194">
        <v>9315208558</v>
      </c>
    </row>
    <row r="144" spans="1:12" ht="6.75" customHeight="1" thickTop="1" x14ac:dyDescent="0.4">
      <c r="A144" s="9"/>
      <c r="B144" s="9"/>
      <c r="C144" s="9"/>
      <c r="D144" s="13"/>
      <c r="E144" s="13"/>
      <c r="F144" s="182"/>
      <c r="G144" s="182"/>
      <c r="H144" s="182"/>
      <c r="I144" s="170"/>
      <c r="J144" s="14"/>
      <c r="K144" s="170"/>
      <c r="L144" s="14"/>
    </row>
    <row r="145" spans="1:12" x14ac:dyDescent="0.4">
      <c r="A145" s="18" t="s">
        <v>240</v>
      </c>
      <c r="B145" s="9"/>
      <c r="C145" s="9"/>
      <c r="D145" s="30"/>
      <c r="E145" s="13"/>
      <c r="F145" s="173"/>
      <c r="G145" s="173"/>
      <c r="H145" s="173"/>
      <c r="I145" s="170"/>
      <c r="J145" s="22"/>
      <c r="K145" s="170"/>
      <c r="L145" s="22"/>
    </row>
    <row r="146" spans="1:12" ht="18.75" thickBot="1" x14ac:dyDescent="0.45">
      <c r="A146" s="9"/>
      <c r="B146" s="18" t="s">
        <v>202</v>
      </c>
      <c r="C146" s="9"/>
      <c r="D146" s="13">
        <v>23</v>
      </c>
      <c r="E146" s="13"/>
      <c r="F146" s="214">
        <f>+F137/F147</f>
        <v>-1.207211781472785E-2</v>
      </c>
      <c r="G146" s="215"/>
      <c r="H146" s="214">
        <f>+H137/H147</f>
        <v>1.1657209344450692E-2</v>
      </c>
      <c r="I146" s="216"/>
      <c r="J146" s="214">
        <f>+J137/J147</f>
        <v>3.8099231614452276E-3</v>
      </c>
      <c r="K146" s="216"/>
      <c r="L146" s="214">
        <f>+L137/L147</f>
        <v>1.3906838595473777E-2</v>
      </c>
    </row>
    <row r="147" spans="1:12" ht="19.5" thickTop="1" thickBot="1" x14ac:dyDescent="0.45">
      <c r="A147" s="9"/>
      <c r="B147" s="18" t="s">
        <v>164</v>
      </c>
      <c r="C147" s="9"/>
      <c r="D147" s="13"/>
      <c r="E147" s="13"/>
      <c r="F147" s="196">
        <v>6971226900</v>
      </c>
      <c r="G147" s="197"/>
      <c r="H147" s="196">
        <v>8160982736</v>
      </c>
      <c r="I147" s="197"/>
      <c r="J147" s="194">
        <v>6971226900</v>
      </c>
      <c r="K147" s="195"/>
      <c r="L147" s="194">
        <v>8160982736</v>
      </c>
    </row>
    <row r="148" spans="1:12" ht="6" customHeight="1" thickTop="1" x14ac:dyDescent="0.4">
      <c r="A148" s="9"/>
      <c r="B148" s="9"/>
      <c r="C148" s="9"/>
      <c r="D148" s="13"/>
      <c r="E148" s="13"/>
      <c r="F148" s="13"/>
      <c r="G148" s="13"/>
      <c r="H148" s="13"/>
      <c r="I148" s="9"/>
      <c r="J148" s="11"/>
      <c r="K148" s="9"/>
      <c r="L148" s="11"/>
    </row>
    <row r="149" spans="1:12" x14ac:dyDescent="0.4">
      <c r="A149" s="15" t="s">
        <v>298</v>
      </c>
      <c r="B149" s="9"/>
      <c r="C149" s="9"/>
      <c r="D149" s="13"/>
      <c r="E149" s="13"/>
      <c r="F149" s="22"/>
      <c r="G149" s="22"/>
      <c r="H149" s="22"/>
      <c r="I149" s="9"/>
      <c r="J149" s="11"/>
      <c r="K149" s="9"/>
      <c r="L149" s="11"/>
    </row>
    <row r="150" spans="1:12" x14ac:dyDescent="0.4">
      <c r="A150" s="15"/>
      <c r="B150" s="9"/>
      <c r="C150" s="9"/>
      <c r="D150" s="13"/>
      <c r="E150" s="13"/>
      <c r="F150" s="22"/>
      <c r="G150" s="22"/>
      <c r="H150" s="22"/>
      <c r="I150" s="9"/>
      <c r="J150" s="11"/>
      <c r="K150" s="9"/>
      <c r="L150" s="11"/>
    </row>
    <row r="151" spans="1:12" x14ac:dyDescent="0.4">
      <c r="A151" s="9"/>
      <c r="B151" s="9"/>
      <c r="C151" s="9"/>
      <c r="D151" s="13"/>
      <c r="E151" s="13"/>
      <c r="F151" s="13"/>
      <c r="G151" s="13"/>
      <c r="H151" s="13"/>
      <c r="I151" s="9"/>
      <c r="J151" s="11"/>
      <c r="K151" s="9"/>
      <c r="L151" s="11"/>
    </row>
    <row r="152" spans="1:12" x14ac:dyDescent="0.4">
      <c r="A152" s="13"/>
      <c r="B152" s="25" t="s">
        <v>145</v>
      </c>
      <c r="C152" s="13"/>
      <c r="D152" s="25"/>
      <c r="E152" s="13"/>
      <c r="F152" s="25" t="s">
        <v>145</v>
      </c>
      <c r="G152" s="13"/>
      <c r="H152" s="13"/>
      <c r="I152" s="13"/>
      <c r="J152" s="13"/>
      <c r="K152" s="13"/>
      <c r="L152" s="13"/>
    </row>
    <row r="153" spans="1:12" ht="13.5" customHeight="1" x14ac:dyDescent="0.4">
      <c r="A153" s="222">
        <v>6</v>
      </c>
      <c r="B153" s="222"/>
      <c r="C153" s="222"/>
      <c r="D153" s="222"/>
      <c r="E153" s="222"/>
      <c r="F153" s="222"/>
      <c r="G153" s="222"/>
      <c r="H153" s="222"/>
      <c r="I153" s="222"/>
      <c r="J153" s="222"/>
      <c r="K153" s="222"/>
      <c r="L153" s="222"/>
    </row>
    <row r="154" spans="1:12" x14ac:dyDescent="0.4">
      <c r="A154" s="9"/>
      <c r="B154" s="9"/>
      <c r="C154" s="9"/>
      <c r="D154" s="33"/>
      <c r="E154" s="33"/>
      <c r="F154" s="17"/>
      <c r="G154" s="33"/>
      <c r="H154" s="17"/>
      <c r="I154" s="9"/>
      <c r="J154" s="17"/>
      <c r="K154" s="15"/>
      <c r="L154" s="134"/>
    </row>
    <row r="155" spans="1:12" x14ac:dyDescent="0.4">
      <c r="A155" s="218" t="str">
        <f>A103</f>
        <v>THE BROOKER GROUP PUBLIC COMPANY LIMITED AND ITS SUBSIDIARIES</v>
      </c>
      <c r="B155" s="218"/>
      <c r="C155" s="218"/>
      <c r="D155" s="218"/>
      <c r="E155" s="218"/>
      <c r="F155" s="218"/>
      <c r="G155" s="218"/>
      <c r="H155" s="218"/>
      <c r="I155" s="218"/>
      <c r="J155" s="218"/>
      <c r="K155" s="218"/>
      <c r="L155" s="218"/>
    </row>
    <row r="156" spans="1:12" x14ac:dyDescent="0.4">
      <c r="A156" s="218" t="s">
        <v>221</v>
      </c>
      <c r="B156" s="218"/>
      <c r="C156" s="218"/>
      <c r="D156" s="218"/>
      <c r="E156" s="218"/>
      <c r="F156" s="218"/>
      <c r="G156" s="218"/>
      <c r="H156" s="218"/>
      <c r="I156" s="218"/>
      <c r="J156" s="218"/>
      <c r="K156" s="218"/>
      <c r="L156" s="218"/>
    </row>
    <row r="157" spans="1:12" x14ac:dyDescent="0.4">
      <c r="A157" s="218" t="str">
        <f>A105</f>
        <v>FOR  THE THREE-MONTH PERIOD ENDED SEPTEMBER 30, 2023</v>
      </c>
      <c r="B157" s="218"/>
      <c r="C157" s="218"/>
      <c r="D157" s="218"/>
      <c r="E157" s="218"/>
      <c r="F157" s="218"/>
      <c r="G157" s="218"/>
      <c r="H157" s="218"/>
      <c r="I157" s="218"/>
      <c r="J157" s="218"/>
      <c r="K157" s="218"/>
      <c r="L157" s="218"/>
    </row>
    <row r="158" spans="1:12" x14ac:dyDescent="0.4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</row>
    <row r="159" spans="1:12" x14ac:dyDescent="0.4">
      <c r="A159" s="9"/>
      <c r="B159" s="9"/>
      <c r="C159" s="27"/>
      <c r="F159" s="220" t="s">
        <v>132</v>
      </c>
      <c r="G159" s="220"/>
      <c r="H159" s="220"/>
      <c r="I159" s="220"/>
      <c r="J159" s="220"/>
      <c r="K159" s="220"/>
      <c r="L159" s="220"/>
    </row>
    <row r="160" spans="1:12" ht="18.75" x14ac:dyDescent="0.4">
      <c r="A160" s="9"/>
      <c r="B160" s="9"/>
      <c r="C160" s="9" t="s">
        <v>4</v>
      </c>
      <c r="F160" s="221" t="s">
        <v>198</v>
      </c>
      <c r="G160" s="221"/>
      <c r="H160" s="221"/>
      <c r="I160" s="82"/>
      <c r="J160" s="221" t="s">
        <v>199</v>
      </c>
      <c r="K160" s="221"/>
      <c r="L160" s="221"/>
    </row>
    <row r="161" spans="1:12" ht="18.75" customHeight="1" x14ac:dyDescent="0.4">
      <c r="A161" s="9"/>
      <c r="B161" s="9"/>
      <c r="C161" s="9"/>
      <c r="F161" s="220" t="str">
        <f>+F108</f>
        <v>For the three-month period ended September 30</v>
      </c>
      <c r="G161" s="220"/>
      <c r="H161" s="220"/>
      <c r="I161" s="220"/>
      <c r="J161" s="220"/>
      <c r="K161" s="220"/>
      <c r="L161" s="220"/>
    </row>
    <row r="162" spans="1:12" x14ac:dyDescent="0.4">
      <c r="A162" s="9"/>
      <c r="B162" s="9"/>
      <c r="C162" s="9"/>
      <c r="D162" s="131" t="s">
        <v>133</v>
      </c>
      <c r="F162" s="131">
        <f>+F109</f>
        <v>2023</v>
      </c>
      <c r="H162" s="131">
        <f>+H109</f>
        <v>2022</v>
      </c>
      <c r="J162" s="131">
        <f>+J109</f>
        <v>2023</v>
      </c>
      <c r="K162" s="6"/>
      <c r="L162" s="131">
        <f>+L109</f>
        <v>2022</v>
      </c>
    </row>
    <row r="163" spans="1:12" x14ac:dyDescent="0.4">
      <c r="A163" s="133"/>
      <c r="B163" s="9"/>
      <c r="C163" s="9"/>
      <c r="D163" s="13"/>
      <c r="E163" s="13"/>
      <c r="F163" s="10"/>
      <c r="G163" s="10"/>
      <c r="H163" s="10"/>
      <c r="I163" s="9"/>
      <c r="J163" s="11"/>
      <c r="K163" s="9"/>
      <c r="L163" s="11"/>
    </row>
    <row r="164" spans="1:12" x14ac:dyDescent="0.4">
      <c r="A164" s="9" t="s">
        <v>317</v>
      </c>
      <c r="B164" s="9"/>
      <c r="C164" s="9"/>
      <c r="D164" s="13"/>
      <c r="E164" s="13"/>
      <c r="F164" s="186">
        <f>+F134</f>
        <v>-84229210.219999999</v>
      </c>
      <c r="G164" s="173"/>
      <c r="H164" s="186">
        <f>+H134</f>
        <v>95040590.649999976</v>
      </c>
      <c r="I164" s="170"/>
      <c r="J164" s="186">
        <f>+J134</f>
        <v>26559838.830000013</v>
      </c>
      <c r="K164" s="170"/>
      <c r="L164" s="186">
        <f>+L134</f>
        <v>113493469.68999998</v>
      </c>
    </row>
    <row r="165" spans="1:12" ht="6" customHeight="1" x14ac:dyDescent="0.4">
      <c r="A165" s="9"/>
      <c r="B165" s="9"/>
      <c r="C165" s="9"/>
      <c r="D165" s="13"/>
      <c r="E165" s="13"/>
      <c r="F165" s="176"/>
      <c r="G165" s="173"/>
      <c r="H165" s="176"/>
      <c r="I165" s="170"/>
      <c r="J165" s="176"/>
      <c r="K165" s="170"/>
      <c r="L165" s="176"/>
    </row>
    <row r="166" spans="1:12" x14ac:dyDescent="0.4">
      <c r="A166" s="9" t="s">
        <v>233</v>
      </c>
      <c r="B166" s="9"/>
      <c r="C166" s="9"/>
      <c r="D166" s="13"/>
      <c r="E166" s="13"/>
      <c r="F166" s="176"/>
      <c r="G166" s="173"/>
      <c r="H166" s="176"/>
      <c r="I166" s="170"/>
      <c r="J166" s="22"/>
      <c r="K166" s="170"/>
      <c r="L166" s="22"/>
    </row>
    <row r="167" spans="1:12" x14ac:dyDescent="0.4">
      <c r="A167" s="9" t="s">
        <v>282</v>
      </c>
      <c r="B167" s="206"/>
      <c r="C167" s="206"/>
      <c r="D167" s="13"/>
      <c r="E167" s="13"/>
      <c r="F167" s="24"/>
      <c r="G167" s="173"/>
      <c r="H167" s="24"/>
      <c r="J167" s="3"/>
      <c r="L167" s="3"/>
    </row>
    <row r="168" spans="1:12" x14ac:dyDescent="0.4">
      <c r="A168" s="206"/>
      <c r="B168" s="9" t="s">
        <v>320</v>
      </c>
      <c r="C168" s="206"/>
      <c r="D168" s="13"/>
      <c r="E168" s="13"/>
      <c r="F168" s="24"/>
      <c r="G168" s="173"/>
      <c r="H168" s="24"/>
      <c r="I168" s="170"/>
      <c r="J168" s="22"/>
      <c r="K168" s="170"/>
      <c r="L168" s="22"/>
    </row>
    <row r="169" spans="1:12" x14ac:dyDescent="0.4">
      <c r="A169" s="9"/>
      <c r="B169" s="157" t="s">
        <v>253</v>
      </c>
      <c r="C169" s="9"/>
      <c r="D169" s="13"/>
      <c r="E169" s="13"/>
      <c r="F169" s="24">
        <v>7326585.6600000001</v>
      </c>
      <c r="G169" s="173"/>
      <c r="H169" s="24">
        <v>6496470.4800000004</v>
      </c>
      <c r="I169" s="170"/>
      <c r="J169" s="22">
        <v>0</v>
      </c>
      <c r="K169" s="170"/>
      <c r="L169" s="22">
        <v>0</v>
      </c>
    </row>
    <row r="170" spans="1:12" ht="6" customHeight="1" x14ac:dyDescent="0.4">
      <c r="A170" s="9"/>
      <c r="B170" s="157"/>
      <c r="C170" s="9"/>
      <c r="D170" s="13"/>
      <c r="E170" s="13"/>
      <c r="F170" s="24"/>
      <c r="G170" s="173"/>
      <c r="H170" s="24"/>
      <c r="I170" s="170"/>
      <c r="J170" s="22"/>
      <c r="K170" s="170"/>
      <c r="L170" s="22"/>
    </row>
    <row r="171" spans="1:12" x14ac:dyDescent="0.4">
      <c r="A171" s="9" t="s">
        <v>284</v>
      </c>
      <c r="B171" s="206"/>
      <c r="C171" s="9"/>
      <c r="D171" s="13"/>
      <c r="E171" s="13"/>
      <c r="F171" s="24"/>
      <c r="G171" s="173"/>
      <c r="H171" s="24"/>
      <c r="I171" s="170"/>
      <c r="J171" s="22"/>
      <c r="K171" s="170"/>
      <c r="L171" s="22"/>
    </row>
    <row r="172" spans="1:12" x14ac:dyDescent="0.4">
      <c r="A172" s="206"/>
      <c r="B172" s="9" t="s">
        <v>283</v>
      </c>
      <c r="C172" s="9"/>
      <c r="D172" s="13"/>
      <c r="E172" s="13"/>
      <c r="F172" s="24"/>
      <c r="G172" s="173"/>
      <c r="H172" s="24"/>
      <c r="I172" s="170"/>
      <c r="J172" s="22"/>
      <c r="K172" s="170"/>
      <c r="L172" s="22"/>
    </row>
    <row r="173" spans="1:12" x14ac:dyDescent="0.4">
      <c r="A173" s="9"/>
      <c r="B173" s="9" t="s">
        <v>285</v>
      </c>
      <c r="C173" s="9"/>
      <c r="D173" s="13"/>
      <c r="E173" s="13"/>
      <c r="F173" s="24">
        <v>0</v>
      </c>
      <c r="G173" s="173"/>
      <c r="H173" s="24">
        <v>0</v>
      </c>
      <c r="I173" s="170"/>
      <c r="J173" s="22">
        <v>0</v>
      </c>
      <c r="K173" s="170"/>
      <c r="L173" s="22">
        <v>0</v>
      </c>
    </row>
    <row r="174" spans="1:12" x14ac:dyDescent="0.4">
      <c r="A174" s="9"/>
      <c r="B174" s="9" t="s">
        <v>286</v>
      </c>
      <c r="C174" s="9"/>
      <c r="D174" s="13"/>
      <c r="E174" s="13"/>
      <c r="F174" s="186">
        <v>0</v>
      </c>
      <c r="G174" s="173"/>
      <c r="H174" s="186">
        <v>0</v>
      </c>
      <c r="I174" s="170"/>
      <c r="J174" s="172">
        <v>0</v>
      </c>
      <c r="K174" s="170"/>
      <c r="L174" s="172">
        <v>0</v>
      </c>
    </row>
    <row r="175" spans="1:12" x14ac:dyDescent="0.4">
      <c r="A175" s="9" t="s">
        <v>318</v>
      </c>
      <c r="B175" s="9"/>
      <c r="C175" s="9"/>
      <c r="D175" s="13"/>
      <c r="E175" s="13"/>
      <c r="F175" s="190">
        <f>SUM(F168:F174)</f>
        <v>7326585.6600000001</v>
      </c>
      <c r="G175" s="173"/>
      <c r="H175" s="190">
        <f>SUM(H168:H174)</f>
        <v>6496470.4800000004</v>
      </c>
      <c r="I175" s="170"/>
      <c r="J175" s="190">
        <f>SUM(J168:J174)</f>
        <v>0</v>
      </c>
      <c r="K175" s="170"/>
      <c r="L175" s="190">
        <f>SUM(L168:L174)</f>
        <v>0</v>
      </c>
    </row>
    <row r="176" spans="1:12" x14ac:dyDescent="0.4">
      <c r="A176" s="9"/>
      <c r="B176" s="9"/>
      <c r="C176" s="9"/>
      <c r="D176" s="13"/>
      <c r="E176" s="13"/>
      <c r="F176" s="176"/>
      <c r="G176" s="173"/>
      <c r="H176" s="176"/>
      <c r="I176" s="170"/>
      <c r="J176" s="14"/>
      <c r="K176" s="170"/>
      <c r="L176" s="14"/>
    </row>
    <row r="177" spans="1:12" ht="18.75" thickBot="1" x14ac:dyDescent="0.45">
      <c r="A177" s="9" t="s">
        <v>319</v>
      </c>
      <c r="B177" s="9"/>
      <c r="C177" s="9"/>
      <c r="D177" s="13"/>
      <c r="E177" s="13"/>
      <c r="F177" s="183">
        <f>+F164+F175</f>
        <v>-76902624.560000002</v>
      </c>
      <c r="G177" s="173"/>
      <c r="H177" s="183">
        <f>+H164+H175</f>
        <v>101537061.12999998</v>
      </c>
      <c r="I177" s="170"/>
      <c r="J177" s="183">
        <f>+J164+J175</f>
        <v>26559838.830000013</v>
      </c>
      <c r="K177" s="170"/>
      <c r="L177" s="183">
        <f>+L164+L175</f>
        <v>113493469.68999998</v>
      </c>
    </row>
    <row r="178" spans="1:12" ht="18.75" thickTop="1" x14ac:dyDescent="0.4">
      <c r="A178" s="9"/>
      <c r="B178" s="9"/>
      <c r="C178" s="9"/>
      <c r="D178" s="13"/>
      <c r="E178" s="13"/>
      <c r="F178" s="182"/>
      <c r="G178" s="182"/>
      <c r="H178" s="182"/>
      <c r="I178" s="170"/>
      <c r="J178" s="14"/>
      <c r="K178" s="170"/>
      <c r="L178" s="14"/>
    </row>
    <row r="179" spans="1:12" ht="18.75" x14ac:dyDescent="0.4">
      <c r="A179" s="18" t="s">
        <v>234</v>
      </c>
      <c r="B179" s="18"/>
      <c r="C179" s="18"/>
      <c r="D179" s="159"/>
      <c r="E179" s="160"/>
      <c r="F179" s="189"/>
      <c r="G179" s="191"/>
      <c r="H179" s="189"/>
      <c r="I179" s="188"/>
      <c r="J179" s="189"/>
      <c r="K179" s="191"/>
      <c r="L179" s="189"/>
    </row>
    <row r="180" spans="1:12" ht="18.75" x14ac:dyDescent="0.4">
      <c r="A180" s="18"/>
      <c r="B180" s="18" t="s">
        <v>232</v>
      </c>
      <c r="C180" s="18"/>
      <c r="D180" s="159"/>
      <c r="E180" s="161">
        <v>852812933</v>
      </c>
      <c r="F180" s="24">
        <f>+F177-F181</f>
        <v>-76830886.790000007</v>
      </c>
      <c r="G180" s="173"/>
      <c r="H180" s="24">
        <f>+H177-H181</f>
        <v>101630754.68999998</v>
      </c>
      <c r="I180" s="173"/>
      <c r="J180" s="24">
        <f>+J177-J181</f>
        <v>26559838.830000013</v>
      </c>
      <c r="K180" s="173"/>
      <c r="L180" s="24">
        <f>+L177-L181</f>
        <v>113493469.68999998</v>
      </c>
    </row>
    <row r="181" spans="1:12" ht="18.75" x14ac:dyDescent="0.4">
      <c r="A181" s="18"/>
      <c r="B181" s="9" t="s">
        <v>228</v>
      </c>
      <c r="C181" s="9"/>
      <c r="D181" s="159"/>
      <c r="E181" s="161">
        <v>-1541152</v>
      </c>
      <c r="F181" s="24">
        <f>+F138</f>
        <v>-71737.77</v>
      </c>
      <c r="G181" s="22"/>
      <c r="H181" s="24">
        <f>+H138</f>
        <v>-93693.56</v>
      </c>
      <c r="I181" s="188"/>
      <c r="J181" s="24">
        <f>+J138</f>
        <v>0</v>
      </c>
      <c r="K181" s="188"/>
      <c r="L181" s="24">
        <f>+L138</f>
        <v>0</v>
      </c>
    </row>
    <row r="182" spans="1:12" ht="19.5" thickBot="1" x14ac:dyDescent="0.45">
      <c r="A182" s="83"/>
      <c r="B182" s="83"/>
      <c r="C182" s="83"/>
      <c r="D182" s="159"/>
      <c r="E182" s="161"/>
      <c r="F182" s="192">
        <f>SUM(F180:F181)</f>
        <v>-76902624.560000002</v>
      </c>
      <c r="G182" s="191"/>
      <c r="H182" s="192">
        <f>SUM(H180:H181)</f>
        <v>101537061.12999998</v>
      </c>
      <c r="I182" s="191"/>
      <c r="J182" s="192">
        <f>SUM(J180:J181)</f>
        <v>26559838.830000013</v>
      </c>
      <c r="K182" s="191"/>
      <c r="L182" s="192">
        <f>SUM(L180:L181)</f>
        <v>113493469.68999998</v>
      </c>
    </row>
    <row r="183" spans="1:12" ht="19.5" thickTop="1" x14ac:dyDescent="0.4">
      <c r="A183" s="83"/>
      <c r="B183" s="83"/>
      <c r="C183" s="83"/>
      <c r="D183" s="159"/>
      <c r="E183" s="161"/>
      <c r="F183" s="24"/>
      <c r="G183" s="191"/>
      <c r="H183" s="173"/>
      <c r="I183" s="191"/>
      <c r="J183" s="173"/>
      <c r="K183" s="191"/>
      <c r="L183" s="173"/>
    </row>
    <row r="184" spans="1:12" ht="18.75" x14ac:dyDescent="0.4">
      <c r="A184" s="15" t="s">
        <v>258</v>
      </c>
      <c r="B184" s="83"/>
      <c r="C184" s="83"/>
      <c r="D184" s="159"/>
      <c r="E184" s="161"/>
      <c r="F184" s="24"/>
      <c r="G184" s="191"/>
      <c r="H184" s="173"/>
      <c r="I184" s="191"/>
      <c r="J184" s="173"/>
      <c r="K184" s="191"/>
      <c r="L184" s="173"/>
    </row>
    <row r="185" spans="1:12" ht="18.75" x14ac:dyDescent="0.4">
      <c r="A185" s="83"/>
      <c r="B185" s="83"/>
      <c r="C185" s="83"/>
      <c r="D185" s="159"/>
      <c r="E185" s="161"/>
      <c r="F185" s="24"/>
      <c r="G185" s="191"/>
      <c r="H185" s="173"/>
      <c r="I185" s="191"/>
      <c r="J185" s="173"/>
      <c r="K185" s="191"/>
      <c r="L185" s="173"/>
    </row>
    <row r="186" spans="1:12" ht="18.75" x14ac:dyDescent="0.4">
      <c r="A186" s="83"/>
      <c r="B186" s="83"/>
      <c r="C186" s="83"/>
      <c r="D186" s="159"/>
      <c r="E186" s="161"/>
      <c r="F186" s="24"/>
      <c r="G186" s="191"/>
      <c r="H186" s="173"/>
      <c r="I186" s="191"/>
      <c r="J186" s="173"/>
      <c r="K186" s="191"/>
      <c r="L186" s="173"/>
    </row>
    <row r="187" spans="1:12" ht="18.75" x14ac:dyDescent="0.4">
      <c r="A187" s="83"/>
      <c r="B187" s="83"/>
      <c r="C187" s="83"/>
      <c r="D187" s="159"/>
      <c r="E187" s="161"/>
      <c r="F187" s="24"/>
      <c r="G187" s="191"/>
      <c r="H187" s="173"/>
      <c r="I187" s="191"/>
      <c r="J187" s="173"/>
      <c r="K187" s="191"/>
      <c r="L187" s="173"/>
    </row>
    <row r="188" spans="1:12" ht="18.75" x14ac:dyDescent="0.4">
      <c r="A188" s="83"/>
      <c r="B188" s="83"/>
      <c r="C188" s="83"/>
      <c r="D188" s="159"/>
      <c r="E188" s="161"/>
      <c r="F188" s="24"/>
      <c r="G188" s="191"/>
      <c r="H188" s="173"/>
      <c r="I188" s="191"/>
      <c r="J188" s="173"/>
      <c r="K188" s="191"/>
      <c r="L188" s="173"/>
    </row>
    <row r="189" spans="1:12" ht="18.75" x14ac:dyDescent="0.4">
      <c r="A189" s="83"/>
      <c r="B189" s="83"/>
      <c r="C189" s="83"/>
      <c r="D189" s="159"/>
      <c r="E189" s="161"/>
      <c r="F189" s="24"/>
      <c r="G189" s="191"/>
      <c r="H189" s="173"/>
      <c r="I189" s="191"/>
      <c r="J189" s="173"/>
      <c r="K189" s="191"/>
      <c r="L189" s="173"/>
    </row>
    <row r="190" spans="1:12" ht="18.75" x14ac:dyDescent="0.4">
      <c r="A190" s="83"/>
      <c r="B190" s="83"/>
      <c r="C190" s="83"/>
      <c r="D190" s="159"/>
      <c r="E190" s="161"/>
      <c r="F190" s="24"/>
      <c r="G190" s="191"/>
      <c r="H190" s="173"/>
      <c r="I190" s="191"/>
      <c r="J190" s="173"/>
      <c r="K190" s="191"/>
      <c r="L190" s="173"/>
    </row>
    <row r="191" spans="1:12" ht="18.75" x14ac:dyDescent="0.4">
      <c r="A191" s="83"/>
      <c r="B191" s="83"/>
      <c r="C191" s="83"/>
      <c r="D191" s="159"/>
      <c r="E191" s="161"/>
      <c r="F191" s="24"/>
      <c r="G191" s="191"/>
      <c r="H191" s="173"/>
      <c r="I191" s="191"/>
      <c r="J191" s="173"/>
      <c r="K191" s="191"/>
      <c r="L191" s="173"/>
    </row>
    <row r="192" spans="1:12" ht="18.75" x14ac:dyDescent="0.4">
      <c r="A192" s="83"/>
      <c r="B192" s="83"/>
      <c r="C192" s="83"/>
      <c r="D192" s="159"/>
      <c r="E192" s="161"/>
      <c r="F192" s="24"/>
      <c r="G192" s="191"/>
      <c r="H192" s="173"/>
      <c r="I192" s="191"/>
      <c r="J192" s="173"/>
      <c r="K192" s="191"/>
      <c r="L192" s="173"/>
    </row>
    <row r="193" spans="1:12" ht="18.75" x14ac:dyDescent="0.4">
      <c r="A193" s="83"/>
      <c r="B193" s="83"/>
      <c r="C193" s="83"/>
      <c r="D193" s="159"/>
      <c r="E193" s="161"/>
      <c r="F193" s="24"/>
      <c r="G193" s="191"/>
      <c r="H193" s="173"/>
      <c r="I193" s="191"/>
      <c r="J193" s="173"/>
      <c r="K193" s="191"/>
      <c r="L193" s="173"/>
    </row>
    <row r="194" spans="1:12" ht="18.75" x14ac:dyDescent="0.4">
      <c r="A194" s="83"/>
      <c r="B194" s="83"/>
      <c r="C194" s="83"/>
      <c r="D194" s="159"/>
      <c r="E194" s="161"/>
      <c r="F194" s="24"/>
      <c r="G194" s="191"/>
      <c r="H194" s="173"/>
      <c r="I194" s="191"/>
      <c r="J194" s="173"/>
      <c r="K194" s="191"/>
      <c r="L194" s="173"/>
    </row>
    <row r="195" spans="1:12" ht="18.75" x14ac:dyDescent="0.4">
      <c r="A195" s="83"/>
      <c r="B195" s="83"/>
      <c r="C195" s="83"/>
      <c r="D195" s="159"/>
      <c r="E195" s="161"/>
      <c r="F195" s="24"/>
      <c r="G195" s="191"/>
      <c r="H195" s="173"/>
      <c r="I195" s="191"/>
      <c r="J195" s="173"/>
      <c r="K195" s="191"/>
      <c r="L195" s="173"/>
    </row>
    <row r="196" spans="1:12" ht="18.75" x14ac:dyDescent="0.4">
      <c r="A196" s="83"/>
      <c r="B196" s="83"/>
      <c r="C196" s="83"/>
      <c r="D196" s="159"/>
      <c r="E196" s="161"/>
      <c r="F196" s="24"/>
      <c r="G196" s="191"/>
      <c r="H196" s="173"/>
      <c r="I196" s="191"/>
      <c r="J196" s="173"/>
      <c r="K196" s="191"/>
      <c r="L196" s="173"/>
    </row>
    <row r="197" spans="1:12" ht="18.75" x14ac:dyDescent="0.4">
      <c r="A197" s="83"/>
      <c r="B197" s="83"/>
      <c r="C197" s="83"/>
      <c r="D197" s="159"/>
      <c r="E197" s="161"/>
      <c r="F197" s="24"/>
      <c r="G197" s="191"/>
      <c r="H197" s="173"/>
      <c r="I197" s="191"/>
      <c r="J197" s="173"/>
      <c r="K197" s="191"/>
      <c r="L197" s="173"/>
    </row>
    <row r="198" spans="1:12" ht="18.75" x14ac:dyDescent="0.4">
      <c r="A198" s="83"/>
      <c r="B198" s="83"/>
      <c r="C198" s="83"/>
      <c r="D198" s="159"/>
      <c r="E198" s="161"/>
      <c r="F198" s="24"/>
      <c r="G198" s="161"/>
      <c r="H198" s="10"/>
      <c r="I198" s="161"/>
      <c r="J198" s="10"/>
      <c r="K198" s="161"/>
      <c r="L198" s="10"/>
    </row>
    <row r="199" spans="1:12" x14ac:dyDescent="0.4">
      <c r="A199" s="138"/>
      <c r="B199" s="9"/>
      <c r="C199" s="9"/>
      <c r="D199" s="13"/>
      <c r="E199" s="13"/>
      <c r="F199" s="13"/>
      <c r="G199" s="13"/>
      <c r="H199" s="13"/>
      <c r="I199" s="9"/>
      <c r="J199" s="11"/>
      <c r="K199" s="9"/>
      <c r="L199" s="11"/>
    </row>
    <row r="200" spans="1:12" x14ac:dyDescent="0.4">
      <c r="A200" s="9"/>
      <c r="B200" s="9"/>
      <c r="C200" s="9"/>
      <c r="D200" s="13"/>
      <c r="E200" s="13"/>
      <c r="F200" s="13"/>
      <c r="G200" s="13"/>
      <c r="H200" s="13"/>
      <c r="I200" s="9"/>
      <c r="J200" s="11"/>
      <c r="K200" s="9"/>
      <c r="L200" s="11"/>
    </row>
    <row r="201" spans="1:12" x14ac:dyDescent="0.4">
      <c r="A201" s="13"/>
      <c r="B201" s="25" t="s">
        <v>145</v>
      </c>
      <c r="C201" s="13"/>
      <c r="D201" s="25"/>
      <c r="E201" s="13"/>
      <c r="F201" s="25" t="s">
        <v>145</v>
      </c>
      <c r="G201" s="13"/>
      <c r="H201" s="13"/>
      <c r="I201" s="13"/>
      <c r="J201" s="13"/>
      <c r="K201" s="13"/>
      <c r="L201" s="13"/>
    </row>
    <row r="202" spans="1:12" x14ac:dyDescent="0.4">
      <c r="A202" s="222">
        <v>7</v>
      </c>
      <c r="B202" s="222"/>
      <c r="C202" s="222"/>
      <c r="D202" s="222"/>
      <c r="E202" s="222"/>
      <c r="F202" s="222"/>
      <c r="G202" s="222"/>
      <c r="H202" s="222"/>
      <c r="I202" s="222"/>
      <c r="J202" s="222"/>
      <c r="K202" s="222"/>
      <c r="L202" s="222"/>
    </row>
  </sheetData>
  <mergeCells count="32">
    <mergeCell ref="A55:L55"/>
    <mergeCell ref="A2:L2"/>
    <mergeCell ref="A3:L3"/>
    <mergeCell ref="A4:L4"/>
    <mergeCell ref="A53:L53"/>
    <mergeCell ref="F6:H6"/>
    <mergeCell ref="J6:L6"/>
    <mergeCell ref="F5:L5"/>
    <mergeCell ref="F7:L7"/>
    <mergeCell ref="A101:L101"/>
    <mergeCell ref="A56:L56"/>
    <mergeCell ref="A57:L57"/>
    <mergeCell ref="F59:L59"/>
    <mergeCell ref="F60:H60"/>
    <mergeCell ref="J60:L60"/>
    <mergeCell ref="F61:L61"/>
    <mergeCell ref="A153:L153"/>
    <mergeCell ref="A155:L155"/>
    <mergeCell ref="A156:L156"/>
    <mergeCell ref="F108:L108"/>
    <mergeCell ref="A103:L103"/>
    <mergeCell ref="A104:L104"/>
    <mergeCell ref="A105:L105"/>
    <mergeCell ref="F106:L106"/>
    <mergeCell ref="F107:H107"/>
    <mergeCell ref="J107:L107"/>
    <mergeCell ref="A202:L202"/>
    <mergeCell ref="A157:L157"/>
    <mergeCell ref="F159:L159"/>
    <mergeCell ref="F160:H160"/>
    <mergeCell ref="J160:L160"/>
    <mergeCell ref="F161:L161"/>
  </mergeCells>
  <phoneticPr fontId="0" type="noConversion"/>
  <conditionalFormatting sqref="G38 F79:L79 E79:E97 G81:G97 I81:I97 K81:K97 E179:E198 G181:G198 I181:I198 K181:K198">
    <cfRule type="expression" priority="8" stopIfTrue="1">
      <formula>"if(E11&gt;0,#,##0;(#,##0),"-")"</formula>
    </cfRule>
  </conditionalFormatting>
  <conditionalFormatting sqref="G138 F179:L179">
    <cfRule type="expression" priority="5" stopIfTrue="1">
      <formula>"if(E11&gt;0,#,##0;(#,##0),"-")"</formula>
    </cfRule>
  </conditionalFormatting>
  <conditionalFormatting sqref="I38:L38">
    <cfRule type="expression" priority="2" stopIfTrue="1">
      <formula>"if(E11&gt;0,#,##0;(#,##0),"-")"</formula>
    </cfRule>
  </conditionalFormatting>
  <conditionalFormatting sqref="I138:L138">
    <cfRule type="expression" priority="1" stopIfTrue="1">
      <formula>"if(E11&gt;0,#,##0;(#,##0),"-")"</formula>
    </cfRule>
  </conditionalFormatting>
  <pageMargins left="0.45" right="0" top="0.4" bottom="0.27" header="0.3" footer="0"/>
  <pageSetup paperSize="9" scale="96" firstPageNumber="8" orientation="portrait" r:id="rId1"/>
  <headerFooter alignWithMargins="0"/>
  <rowBreaks count="3" manualBreakCount="3">
    <brk id="53" max="11" man="1"/>
    <brk id="101" max="11" man="1"/>
    <brk id="153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50"/>
  <sheetViews>
    <sheetView topLeftCell="A9" zoomScaleNormal="100" zoomScaleSheetLayoutView="100" workbookViewId="0">
      <selection activeCell="L37" sqref="L37"/>
    </sheetView>
  </sheetViews>
  <sheetFormatPr defaultColWidth="9.140625" defaultRowHeight="18" x14ac:dyDescent="0.4"/>
  <cols>
    <col min="1" max="1" width="35.140625" style="9" customWidth="1"/>
    <col min="2" max="2" width="5.140625" style="9" customWidth="1"/>
    <col min="3" max="3" width="1.140625" style="9" customWidth="1"/>
    <col min="4" max="4" width="12.42578125" style="9" bestFit="1" customWidth="1"/>
    <col min="5" max="5" width="1.140625" style="9" customWidth="1"/>
    <col min="6" max="6" width="10.85546875" style="9" hidden="1" customWidth="1"/>
    <col min="7" max="7" width="1.140625" style="9" hidden="1" customWidth="1"/>
    <col min="8" max="8" width="12.42578125" style="9" bestFit="1" customWidth="1"/>
    <col min="9" max="9" width="1.140625" style="9" customWidth="1"/>
    <col min="10" max="10" width="11.85546875" style="9" customWidth="1"/>
    <col min="11" max="11" width="0.85546875" style="9" customWidth="1"/>
    <col min="12" max="12" width="11.85546875" style="9" customWidth="1"/>
    <col min="13" max="13" width="1" style="9" customWidth="1"/>
    <col min="14" max="14" width="12.7109375" style="9" customWidth="1"/>
    <col min="15" max="15" width="1" style="9" customWidth="1"/>
    <col min="16" max="16" width="13.42578125" style="9" customWidth="1"/>
    <col min="17" max="17" width="1" style="9" customWidth="1"/>
    <col min="18" max="18" width="11.85546875" style="9" customWidth="1"/>
    <col min="19" max="19" width="1" style="9" customWidth="1"/>
    <col min="20" max="20" width="12.85546875" style="9" customWidth="1"/>
    <col min="21" max="21" width="1.140625" style="9" customWidth="1"/>
    <col min="22" max="22" width="12.85546875" style="9" bestFit="1" customWidth="1"/>
    <col min="23" max="23" width="1.140625" style="9" customWidth="1"/>
    <col min="24" max="24" width="11.7109375" style="9" bestFit="1" customWidth="1"/>
    <col min="25" max="25" width="1.140625" style="9" customWidth="1"/>
    <col min="26" max="26" width="12.85546875" style="9" bestFit="1" customWidth="1"/>
    <col min="27" max="27" width="11.28515625" style="9" hidden="1" customWidth="1"/>
    <col min="28" max="28" width="12.42578125" style="9" bestFit="1" customWidth="1"/>
    <col min="29" max="29" width="16.85546875" style="9" customWidth="1"/>
    <col min="30" max="16384" width="9.140625" style="9"/>
  </cols>
  <sheetData>
    <row r="1" spans="1:29" ht="8.25" customHeight="1" x14ac:dyDescent="0.4">
      <c r="A1" s="3"/>
      <c r="X1" s="223"/>
      <c r="Y1" s="223"/>
      <c r="Z1" s="223"/>
    </row>
    <row r="2" spans="1:29" ht="18.75" customHeight="1" x14ac:dyDescent="0.4">
      <c r="A2" s="3"/>
      <c r="X2" s="223" t="s">
        <v>310</v>
      </c>
      <c r="Y2" s="223"/>
      <c r="Z2" s="223"/>
    </row>
    <row r="3" spans="1:29" x14ac:dyDescent="0.4">
      <c r="A3" s="224" t="s">
        <v>131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</row>
    <row r="4" spans="1:29" x14ac:dyDescent="0.4">
      <c r="A4" s="224" t="s">
        <v>247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18"/>
      <c r="AB4" s="18"/>
    </row>
    <row r="5" spans="1:29" ht="18" customHeight="1" x14ac:dyDescent="0.4">
      <c r="A5" s="224" t="s">
        <v>200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</row>
    <row r="6" spans="1:29" x14ac:dyDescent="0.4">
      <c r="A6" s="224" t="s">
        <v>382</v>
      </c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</row>
    <row r="7" spans="1:29" ht="7.5" customHeight="1" x14ac:dyDescent="0.4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9" x14ac:dyDescent="0.4">
      <c r="A8" s="29"/>
      <c r="B8" s="8"/>
      <c r="C8" s="8"/>
      <c r="D8" s="227" t="s">
        <v>165</v>
      </c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7"/>
      <c r="U8" s="227"/>
      <c r="V8" s="227"/>
      <c r="W8" s="227"/>
      <c r="X8" s="227"/>
      <c r="Y8" s="227"/>
      <c r="Z8" s="227"/>
    </row>
    <row r="9" spans="1:29" x14ac:dyDescent="0.4">
      <c r="A9" s="29"/>
      <c r="B9" s="8"/>
      <c r="C9" s="8"/>
      <c r="D9" s="22"/>
      <c r="E9" s="22"/>
      <c r="F9" s="134"/>
      <c r="G9" s="134"/>
      <c r="H9" s="134"/>
      <c r="I9" s="22"/>
      <c r="J9" s="22"/>
      <c r="K9" s="22"/>
      <c r="L9" s="225" t="s">
        <v>153</v>
      </c>
      <c r="M9" s="225"/>
      <c r="N9" s="225"/>
      <c r="O9" s="14"/>
      <c r="P9" s="226" t="s">
        <v>224</v>
      </c>
      <c r="Q9" s="226"/>
      <c r="R9" s="226"/>
      <c r="S9" s="226"/>
      <c r="T9" s="226"/>
      <c r="U9" s="8"/>
      <c r="V9" s="163"/>
      <c r="W9" s="158"/>
      <c r="X9" s="164"/>
    </row>
    <row r="10" spans="1:29" x14ac:dyDescent="0.4">
      <c r="D10" s="134"/>
      <c r="E10" s="14"/>
      <c r="F10" s="134"/>
      <c r="G10" s="134"/>
      <c r="H10" s="134"/>
      <c r="I10" s="14"/>
      <c r="J10" s="33" t="s">
        <v>275</v>
      </c>
      <c r="K10" s="14"/>
      <c r="O10" s="33"/>
      <c r="P10" s="33"/>
      <c r="Q10" s="33"/>
      <c r="R10" s="36" t="s">
        <v>290</v>
      </c>
      <c r="S10" s="36"/>
      <c r="T10" s="35"/>
      <c r="U10" s="14"/>
      <c r="V10" s="13" t="s">
        <v>245</v>
      </c>
      <c r="W10" s="35"/>
    </row>
    <row r="11" spans="1:29" x14ac:dyDescent="0.4">
      <c r="B11" s="13"/>
      <c r="D11" s="33" t="s">
        <v>196</v>
      </c>
      <c r="E11" s="33"/>
      <c r="F11" s="33"/>
      <c r="G11" s="33"/>
      <c r="H11" s="33" t="s">
        <v>273</v>
      </c>
      <c r="I11" s="33"/>
      <c r="J11" s="33" t="s">
        <v>276</v>
      </c>
      <c r="K11" s="33"/>
      <c r="L11" s="33"/>
      <c r="M11" s="33"/>
      <c r="N11" s="33"/>
      <c r="O11" s="33"/>
      <c r="P11" s="33" t="s">
        <v>169</v>
      </c>
      <c r="Q11" s="33"/>
      <c r="R11" s="36" t="s">
        <v>291</v>
      </c>
      <c r="S11" s="36"/>
      <c r="T11" s="35" t="s">
        <v>226</v>
      </c>
      <c r="U11" s="14"/>
      <c r="V11" s="8" t="s">
        <v>244</v>
      </c>
      <c r="W11" s="35"/>
      <c r="X11" s="35" t="s">
        <v>222</v>
      </c>
    </row>
    <row r="12" spans="1:29" x14ac:dyDescent="0.4">
      <c r="B12" s="13"/>
      <c r="D12" s="33" t="s">
        <v>166</v>
      </c>
      <c r="E12" s="33"/>
      <c r="F12" s="33"/>
      <c r="G12" s="33"/>
      <c r="H12" s="33" t="s">
        <v>274</v>
      </c>
      <c r="I12" s="33"/>
      <c r="J12" s="33" t="s">
        <v>277</v>
      </c>
      <c r="K12" s="33"/>
      <c r="L12" s="33" t="s">
        <v>173</v>
      </c>
      <c r="M12" s="33"/>
      <c r="N12" s="33"/>
      <c r="O12" s="33"/>
      <c r="P12" s="33" t="s">
        <v>170</v>
      </c>
      <c r="Q12" s="33"/>
      <c r="R12" s="36" t="s">
        <v>292</v>
      </c>
      <c r="S12" s="36"/>
      <c r="T12" s="33" t="s">
        <v>227</v>
      </c>
      <c r="U12" s="14"/>
      <c r="V12" s="8" t="s">
        <v>215</v>
      </c>
      <c r="W12" s="35"/>
      <c r="X12" s="35" t="s">
        <v>223</v>
      </c>
    </row>
    <row r="13" spans="1:29" x14ac:dyDescent="0.4">
      <c r="B13" s="168" t="s">
        <v>214</v>
      </c>
      <c r="D13" s="211" t="s">
        <v>167</v>
      </c>
      <c r="E13" s="211"/>
      <c r="F13" s="211" t="s">
        <v>237</v>
      </c>
      <c r="G13" s="211"/>
      <c r="H13" s="211" t="s">
        <v>168</v>
      </c>
      <c r="I13" s="211"/>
      <c r="J13" s="211" t="s">
        <v>278</v>
      </c>
      <c r="K13" s="211"/>
      <c r="L13" s="211" t="s">
        <v>174</v>
      </c>
      <c r="M13" s="211"/>
      <c r="N13" s="211" t="s">
        <v>155</v>
      </c>
      <c r="O13" s="36"/>
      <c r="P13" s="211" t="s">
        <v>171</v>
      </c>
      <c r="Q13" s="36"/>
      <c r="R13" s="211" t="s">
        <v>293</v>
      </c>
      <c r="S13" s="36"/>
      <c r="T13" s="211" t="s">
        <v>225</v>
      </c>
      <c r="U13" s="14"/>
      <c r="V13" s="39" t="s">
        <v>216</v>
      </c>
      <c r="W13" s="35"/>
      <c r="X13" s="210" t="s">
        <v>241</v>
      </c>
      <c r="Z13" s="210" t="s">
        <v>175</v>
      </c>
      <c r="AC13" s="36"/>
    </row>
    <row r="14" spans="1:29" x14ac:dyDescent="0.4">
      <c r="C14" s="36"/>
      <c r="D14" s="170"/>
      <c r="E14" s="170"/>
      <c r="F14" s="170"/>
      <c r="G14" s="170"/>
      <c r="H14" s="170"/>
      <c r="I14" s="170"/>
      <c r="J14" s="170"/>
      <c r="K14" s="170"/>
      <c r="L14" s="36"/>
      <c r="M14" s="36"/>
      <c r="N14" s="181"/>
      <c r="O14" s="170"/>
      <c r="P14" s="170"/>
      <c r="Q14" s="170"/>
      <c r="R14" s="36"/>
      <c r="S14" s="36"/>
      <c r="T14" s="36"/>
      <c r="U14" s="170"/>
      <c r="V14" s="36"/>
      <c r="W14" s="36"/>
      <c r="X14" s="36"/>
      <c r="Y14" s="170"/>
      <c r="Z14" s="181"/>
    </row>
    <row r="15" spans="1:29" x14ac:dyDescent="0.4">
      <c r="A15" s="9" t="s">
        <v>348</v>
      </c>
      <c r="D15" s="22">
        <v>1031660147.25</v>
      </c>
      <c r="E15" s="22"/>
      <c r="F15" s="22">
        <v>0</v>
      </c>
      <c r="G15" s="22"/>
      <c r="H15" s="22">
        <v>669983717.94000006</v>
      </c>
      <c r="I15" s="22"/>
      <c r="J15" s="22">
        <v>29008465.079999998</v>
      </c>
      <c r="K15" s="22"/>
      <c r="L15" s="22">
        <v>97705272.879999995</v>
      </c>
      <c r="M15" s="22"/>
      <c r="N15" s="22">
        <v>1359033915.25</v>
      </c>
      <c r="O15" s="22"/>
      <c r="P15" s="22">
        <v>-8675530.0099999998</v>
      </c>
      <c r="Q15" s="22"/>
      <c r="R15" s="22">
        <v>0</v>
      </c>
      <c r="S15" s="22"/>
      <c r="T15" s="22">
        <f>SUM(P15:S15)</f>
        <v>-8675530.0099999998</v>
      </c>
      <c r="U15" s="22"/>
      <c r="V15" s="22">
        <f>SUM(D15:O15)+T15</f>
        <v>3178715988.3899999</v>
      </c>
      <c r="W15" s="22"/>
      <c r="X15" s="22">
        <v>171232833.56999999</v>
      </c>
      <c r="Y15" s="170"/>
      <c r="Z15" s="22">
        <f>SUM(V15:X15)</f>
        <v>3349948821.96</v>
      </c>
      <c r="AB15" s="170"/>
      <c r="AC15" s="170"/>
    </row>
    <row r="16" spans="1:29" ht="6.75" customHeight="1" x14ac:dyDescent="0.4">
      <c r="B16" s="13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170"/>
      <c r="Z16" s="22"/>
    </row>
    <row r="17" spans="1:29" x14ac:dyDescent="0.4">
      <c r="A17" s="9" t="s">
        <v>266</v>
      </c>
      <c r="B17" s="13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170"/>
      <c r="Z17" s="22"/>
    </row>
    <row r="18" spans="1:29" x14ac:dyDescent="0.4">
      <c r="A18" s="9" t="s">
        <v>315</v>
      </c>
      <c r="B18" s="13">
        <v>21</v>
      </c>
      <c r="D18" s="22">
        <v>27905071.670000002</v>
      </c>
      <c r="E18" s="14"/>
      <c r="F18" s="22">
        <v>0</v>
      </c>
      <c r="G18" s="22"/>
      <c r="H18" s="22">
        <v>18280555.23</v>
      </c>
      <c r="I18" s="14"/>
      <c r="J18" s="22">
        <v>-29008465.079999998</v>
      </c>
      <c r="K18" s="22"/>
      <c r="L18" s="22">
        <v>0</v>
      </c>
      <c r="M18" s="22"/>
      <c r="N18" s="22">
        <v>0</v>
      </c>
      <c r="O18" s="22"/>
      <c r="P18" s="22">
        <v>0</v>
      </c>
      <c r="Q18" s="22"/>
      <c r="R18" s="22">
        <v>0</v>
      </c>
      <c r="S18" s="22"/>
      <c r="T18" s="22">
        <f t="shared" ref="T18" si="0">SUM(P18:S18)</f>
        <v>0</v>
      </c>
      <c r="U18" s="22"/>
      <c r="V18" s="22">
        <f t="shared" ref="V18" si="1">SUM(D18:O18)+T18</f>
        <v>17177161.820000008</v>
      </c>
      <c r="W18" s="22"/>
      <c r="X18" s="22">
        <v>0</v>
      </c>
      <c r="Y18" s="170"/>
      <c r="Z18" s="22">
        <f t="shared" ref="Z18" si="2">SUM(V18:X18)</f>
        <v>17177161.820000008</v>
      </c>
    </row>
    <row r="19" spans="1:29" x14ac:dyDescent="0.4">
      <c r="A19" s="9" t="s">
        <v>350</v>
      </c>
      <c r="B19" s="13">
        <v>21</v>
      </c>
      <c r="D19" s="22">
        <v>104835850.84</v>
      </c>
      <c r="E19" s="14"/>
      <c r="F19" s="22">
        <v>0</v>
      </c>
      <c r="G19" s="22"/>
      <c r="H19" s="22">
        <v>0</v>
      </c>
      <c r="I19" s="14"/>
      <c r="J19" s="22">
        <v>0</v>
      </c>
      <c r="K19" s="22"/>
      <c r="L19" s="22">
        <v>0</v>
      </c>
      <c r="M19" s="22"/>
      <c r="N19" s="22">
        <v>-104835850.84</v>
      </c>
      <c r="O19" s="22"/>
      <c r="P19" s="22">
        <v>0</v>
      </c>
      <c r="Q19" s="22"/>
      <c r="R19" s="22">
        <v>0</v>
      </c>
      <c r="S19" s="22"/>
      <c r="T19" s="22">
        <f t="shared" ref="T19" si="3">SUM(P19:S19)</f>
        <v>0</v>
      </c>
      <c r="U19" s="22"/>
      <c r="V19" s="22">
        <f t="shared" ref="V19" si="4">SUM(D19:O19)+T19</f>
        <v>0</v>
      </c>
      <c r="W19" s="22"/>
      <c r="X19" s="22">
        <v>0</v>
      </c>
      <c r="Y19" s="170"/>
      <c r="Z19" s="22">
        <f t="shared" ref="Z19" si="5">SUM(V19:X19)</f>
        <v>0</v>
      </c>
    </row>
    <row r="20" spans="1:29" hidden="1" x14ac:dyDescent="0.4">
      <c r="A20" s="9" t="s">
        <v>316</v>
      </c>
      <c r="B20" s="13"/>
      <c r="D20" s="22">
        <v>0</v>
      </c>
      <c r="E20" s="14"/>
      <c r="F20" s="22">
        <v>0</v>
      </c>
      <c r="G20" s="22"/>
      <c r="H20" s="22">
        <v>0</v>
      </c>
      <c r="I20" s="14"/>
      <c r="J20" s="22"/>
      <c r="K20" s="22"/>
      <c r="L20" s="22">
        <v>0</v>
      </c>
      <c r="M20" s="22"/>
      <c r="N20" s="22">
        <v>0</v>
      </c>
      <c r="O20" s="22"/>
      <c r="P20" s="22">
        <v>0</v>
      </c>
      <c r="Q20" s="22"/>
      <c r="R20" s="22">
        <v>0</v>
      </c>
      <c r="S20" s="22"/>
      <c r="T20" s="22">
        <f t="shared" ref="T20" si="6">SUM(P20:S20)</f>
        <v>0</v>
      </c>
      <c r="U20" s="22"/>
      <c r="V20" s="22">
        <f t="shared" ref="V20" si="7">SUM(D20:O20)+T20</f>
        <v>0</v>
      </c>
      <c r="W20" s="22"/>
      <c r="X20" s="22">
        <v>0</v>
      </c>
      <c r="Y20" s="170"/>
      <c r="Z20" s="22">
        <f t="shared" ref="Z20" si="8">SUM(V20:X20)</f>
        <v>0</v>
      </c>
    </row>
    <row r="21" spans="1:29" x14ac:dyDescent="0.4">
      <c r="A21" s="9" t="s">
        <v>260</v>
      </c>
      <c r="B21" s="13">
        <v>24</v>
      </c>
      <c r="D21" s="22">
        <v>0</v>
      </c>
      <c r="E21" s="14"/>
      <c r="F21" s="22">
        <v>0</v>
      </c>
      <c r="G21" s="22"/>
      <c r="H21" s="22">
        <v>0</v>
      </c>
      <c r="I21" s="14"/>
      <c r="J21" s="22">
        <v>0</v>
      </c>
      <c r="K21" s="22"/>
      <c r="L21" s="22">
        <v>0</v>
      </c>
      <c r="M21" s="22"/>
      <c r="N21" s="22">
        <v>-88509177.920000002</v>
      </c>
      <c r="O21" s="22"/>
      <c r="P21" s="22">
        <v>0</v>
      </c>
      <c r="Q21" s="22"/>
      <c r="R21" s="22">
        <v>0</v>
      </c>
      <c r="S21" s="22"/>
      <c r="T21" s="22">
        <f>SUM(P21:S21)</f>
        <v>0</v>
      </c>
      <c r="U21" s="22"/>
      <c r="V21" s="22">
        <f>SUM(D21:O21)+T21</f>
        <v>-88509177.920000002</v>
      </c>
      <c r="W21" s="22"/>
      <c r="X21" s="22">
        <v>-108284198.40000001</v>
      </c>
      <c r="Y21" s="170"/>
      <c r="Z21" s="22">
        <f>SUM(V21:X21)</f>
        <v>-196793376.31999999</v>
      </c>
    </row>
    <row r="22" spans="1:29" x14ac:dyDescent="0.4">
      <c r="A22" s="9" t="s">
        <v>365</v>
      </c>
      <c r="B22" s="13"/>
      <c r="D22" s="22">
        <v>0</v>
      </c>
      <c r="E22" s="14"/>
      <c r="F22" s="22">
        <v>0</v>
      </c>
      <c r="G22" s="22"/>
      <c r="H22" s="22">
        <v>0</v>
      </c>
      <c r="I22" s="14"/>
      <c r="J22" s="22">
        <v>0</v>
      </c>
      <c r="K22" s="22"/>
      <c r="L22" s="22">
        <v>3803303.93</v>
      </c>
      <c r="M22" s="22"/>
      <c r="N22" s="22">
        <f>-L22</f>
        <v>-3803303.93</v>
      </c>
      <c r="O22" s="22"/>
      <c r="P22" s="22">
        <v>0</v>
      </c>
      <c r="Q22" s="22"/>
      <c r="R22" s="22">
        <v>0</v>
      </c>
      <c r="S22" s="22"/>
      <c r="T22" s="22">
        <f>SUM(P22:S22)</f>
        <v>0</v>
      </c>
      <c r="U22" s="22"/>
      <c r="V22" s="22">
        <f>SUM(D22:O22)+T22</f>
        <v>0</v>
      </c>
      <c r="W22" s="22"/>
      <c r="X22" s="22">
        <v>0</v>
      </c>
      <c r="Y22" s="170"/>
      <c r="Z22" s="22">
        <f>SUM(V22:X22)</f>
        <v>0</v>
      </c>
    </row>
    <row r="23" spans="1:29" x14ac:dyDescent="0.4">
      <c r="A23" s="9" t="s">
        <v>297</v>
      </c>
      <c r="D23" s="22">
        <v>0</v>
      </c>
      <c r="E23" s="22"/>
      <c r="F23" s="22">
        <v>0</v>
      </c>
      <c r="G23" s="22"/>
      <c r="H23" s="22">
        <v>0</v>
      </c>
      <c r="I23" s="22"/>
      <c r="J23" s="22">
        <v>0</v>
      </c>
      <c r="K23" s="22"/>
      <c r="L23" s="14">
        <v>0</v>
      </c>
      <c r="M23" s="14"/>
      <c r="N23" s="14">
        <f>+'PL_Q3-66'!H37</f>
        <v>-216675943.27000004</v>
      </c>
      <c r="O23" s="22"/>
      <c r="P23" s="22">
        <f>+'PL_Q3-66'!H69</f>
        <v>16032320.710000001</v>
      </c>
      <c r="Q23" s="22"/>
      <c r="R23" s="14">
        <v>-230282.4</v>
      </c>
      <c r="S23" s="14"/>
      <c r="T23" s="14">
        <f>SUM(P23:S23)</f>
        <v>15802038.310000001</v>
      </c>
      <c r="U23" s="22"/>
      <c r="V23" s="22">
        <f>SUM(D23:O23)+T23</f>
        <v>-200873904.96000004</v>
      </c>
      <c r="W23" s="22"/>
      <c r="X23" s="22">
        <v>-392441.1</v>
      </c>
      <c r="Y23" s="170"/>
      <c r="Z23" s="22">
        <f>SUM(V23:X23)</f>
        <v>-201266346.06000003</v>
      </c>
      <c r="AB23" s="170">
        <f>N23-'PL_Q3-66'!H37</f>
        <v>0</v>
      </c>
    </row>
    <row r="24" spans="1:29" x14ac:dyDescent="0.4">
      <c r="A24" s="9" t="s">
        <v>287</v>
      </c>
      <c r="D24" s="22"/>
      <c r="E24" s="22"/>
      <c r="F24" s="22"/>
      <c r="G24" s="22"/>
      <c r="H24" s="22"/>
      <c r="I24" s="22"/>
      <c r="J24" s="22"/>
      <c r="K24" s="22"/>
      <c r="L24" s="14"/>
      <c r="M24" s="14"/>
      <c r="N24" s="14"/>
      <c r="O24" s="22"/>
      <c r="P24" s="22"/>
      <c r="Q24" s="22"/>
      <c r="R24" s="14"/>
      <c r="S24" s="14"/>
      <c r="T24" s="14"/>
      <c r="U24" s="22"/>
      <c r="V24" s="22"/>
      <c r="W24" s="22"/>
      <c r="X24" s="22"/>
      <c r="Y24" s="170"/>
      <c r="Z24" s="22"/>
      <c r="AB24" s="170"/>
    </row>
    <row r="25" spans="1:29" x14ac:dyDescent="0.4">
      <c r="A25" s="9" t="s">
        <v>288</v>
      </c>
      <c r="D25" s="22">
        <v>0</v>
      </c>
      <c r="E25" s="22"/>
      <c r="F25" s="22">
        <v>0</v>
      </c>
      <c r="G25" s="22"/>
      <c r="H25" s="22">
        <v>0</v>
      </c>
      <c r="I25" s="22"/>
      <c r="J25" s="22">
        <v>0</v>
      </c>
      <c r="K25" s="22"/>
      <c r="L25" s="14">
        <v>0</v>
      </c>
      <c r="M25" s="14"/>
      <c r="N25" s="14">
        <f>-R25</f>
        <v>-230282.4</v>
      </c>
      <c r="O25" s="22"/>
      <c r="P25" s="22">
        <f>+'PL_Q3-66'!F57</f>
        <v>0</v>
      </c>
      <c r="Q25" s="22"/>
      <c r="R25" s="14">
        <f>-R23</f>
        <v>230282.4</v>
      </c>
      <c r="S25" s="14"/>
      <c r="T25" s="14">
        <f>SUM(P25:S25)</f>
        <v>230282.4</v>
      </c>
      <c r="U25" s="22"/>
      <c r="V25" s="22">
        <f>SUM(D25:O25)+T25</f>
        <v>0</v>
      </c>
      <c r="W25" s="22"/>
      <c r="X25" s="22">
        <v>0</v>
      </c>
      <c r="Y25" s="170"/>
      <c r="Z25" s="22">
        <f>SUM(V25:X25)</f>
        <v>0</v>
      </c>
      <c r="AB25" s="170"/>
    </row>
    <row r="26" spans="1:29" ht="9.75" customHeight="1" x14ac:dyDescent="0.4">
      <c r="B26" s="13"/>
      <c r="D26" s="172"/>
      <c r="E26" s="170"/>
      <c r="F26" s="172"/>
      <c r="G26" s="22"/>
      <c r="H26" s="172"/>
      <c r="I26" s="170"/>
      <c r="J26" s="172"/>
      <c r="K26" s="22"/>
      <c r="L26" s="172"/>
      <c r="M26" s="182"/>
      <c r="N26" s="172"/>
      <c r="O26" s="22"/>
      <c r="P26" s="172"/>
      <c r="Q26" s="22"/>
      <c r="R26" s="172"/>
      <c r="S26" s="22"/>
      <c r="T26" s="172"/>
      <c r="U26" s="170"/>
      <c r="V26" s="172"/>
      <c r="W26" s="22"/>
      <c r="X26" s="172"/>
      <c r="Y26" s="170"/>
      <c r="Z26" s="172"/>
    </row>
    <row r="27" spans="1:29" ht="10.5" hidden="1" customHeight="1" x14ac:dyDescent="0.4"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22"/>
      <c r="W27" s="22"/>
      <c r="X27" s="22"/>
      <c r="Y27" s="170"/>
      <c r="Z27" s="170"/>
    </row>
    <row r="28" spans="1:29" ht="18.75" thickBot="1" x14ac:dyDescent="0.45">
      <c r="A28" s="9" t="s">
        <v>364</v>
      </c>
      <c r="D28" s="183">
        <f>SUM(D15:D27)</f>
        <v>1164401069.76</v>
      </c>
      <c r="E28" s="14"/>
      <c r="F28" s="183">
        <f>SUM(F15:F27)</f>
        <v>0</v>
      </c>
      <c r="G28" s="22"/>
      <c r="H28" s="183">
        <f>SUM(H15:H27)</f>
        <v>688264273.17000008</v>
      </c>
      <c r="I28" s="14"/>
      <c r="J28" s="183">
        <f>SUM(J15:J27)</f>
        <v>0</v>
      </c>
      <c r="K28" s="22"/>
      <c r="L28" s="183">
        <f>SUM(L15:L27)</f>
        <v>101508576.81</v>
      </c>
      <c r="M28" s="14"/>
      <c r="N28" s="183">
        <f>SUM(N15:N27)</f>
        <v>944979356.88999999</v>
      </c>
      <c r="O28" s="22"/>
      <c r="P28" s="183">
        <f>SUM(P15:P27)</f>
        <v>7356790.7000000011</v>
      </c>
      <c r="Q28" s="22"/>
      <c r="R28" s="183">
        <f>SUM(R15:R27)</f>
        <v>0</v>
      </c>
      <c r="S28" s="22"/>
      <c r="T28" s="183">
        <f>SUM(T15:T27)</f>
        <v>7356790.7000000011</v>
      </c>
      <c r="U28" s="14"/>
      <c r="V28" s="183">
        <f>SUM(V15:V27)</f>
        <v>2906510067.3299999</v>
      </c>
      <c r="W28" s="22"/>
      <c r="X28" s="183">
        <f>SUM(X15:X27)</f>
        <v>62556194.069999985</v>
      </c>
      <c r="Y28" s="170"/>
      <c r="Z28" s="183">
        <f>SUM(Z15:Z27)</f>
        <v>2969066261.4000001</v>
      </c>
      <c r="AB28" s="170"/>
      <c r="AC28" s="170"/>
    </row>
    <row r="29" spans="1:29" ht="12" customHeight="1" thickTop="1" x14ac:dyDescent="0.4"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</row>
    <row r="30" spans="1:29" x14ac:dyDescent="0.4">
      <c r="A30" s="9" t="s">
        <v>384</v>
      </c>
      <c r="D30" s="22">
        <v>1164401069.76</v>
      </c>
      <c r="E30" s="22"/>
      <c r="F30" s="22">
        <v>0</v>
      </c>
      <c r="G30" s="22"/>
      <c r="H30" s="22">
        <v>688264273.16999996</v>
      </c>
      <c r="I30" s="22"/>
      <c r="J30" s="22">
        <v>0</v>
      </c>
      <c r="K30" s="22"/>
      <c r="L30" s="22">
        <v>101508576.81</v>
      </c>
      <c r="M30" s="22"/>
      <c r="N30" s="22">
        <v>640369161.44000006</v>
      </c>
      <c r="O30" s="22"/>
      <c r="P30" s="22">
        <v>17740596.210000001</v>
      </c>
      <c r="Q30" s="22"/>
      <c r="R30" s="22">
        <v>0</v>
      </c>
      <c r="S30" s="22"/>
      <c r="T30" s="22">
        <f>SUM(P30:S30)</f>
        <v>17740596.210000001</v>
      </c>
      <c r="U30" s="22"/>
      <c r="V30" s="22">
        <f>SUM(D30:O30)+T30</f>
        <v>2612283677.3899999</v>
      </c>
      <c r="W30" s="22"/>
      <c r="X30" s="22">
        <v>62855854.490000002</v>
      </c>
      <c r="Y30" s="170"/>
      <c r="Z30" s="22">
        <f>SUM(V30:X30)</f>
        <v>2675139531.8799996</v>
      </c>
      <c r="AB30" s="170"/>
    </row>
    <row r="31" spans="1:29" ht="9" customHeight="1" x14ac:dyDescent="0.4">
      <c r="B31" s="13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170"/>
      <c r="Z31" s="22"/>
    </row>
    <row r="32" spans="1:29" x14ac:dyDescent="0.4">
      <c r="A32" s="9" t="s">
        <v>266</v>
      </c>
      <c r="B32" s="13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170"/>
      <c r="Z32" s="22"/>
    </row>
    <row r="33" spans="1:30" hidden="1" x14ac:dyDescent="0.4">
      <c r="A33" s="9" t="s">
        <v>315</v>
      </c>
      <c r="B33" s="13">
        <v>21</v>
      </c>
      <c r="D33" s="22">
        <v>0</v>
      </c>
      <c r="E33" s="14"/>
      <c r="F33" s="22">
        <v>0</v>
      </c>
      <c r="G33" s="22"/>
      <c r="H33" s="22">
        <v>0</v>
      </c>
      <c r="I33" s="14"/>
      <c r="J33" s="22">
        <v>0</v>
      </c>
      <c r="K33" s="22"/>
      <c r="L33" s="22">
        <v>0</v>
      </c>
      <c r="M33" s="22"/>
      <c r="N33" s="22">
        <v>0</v>
      </c>
      <c r="O33" s="22"/>
      <c r="P33" s="22">
        <v>0</v>
      </c>
      <c r="Q33" s="22"/>
      <c r="R33" s="22">
        <v>0</v>
      </c>
      <c r="S33" s="22"/>
      <c r="T33" s="22">
        <f t="shared" ref="T33:T35" si="9">SUM(P33:S33)</f>
        <v>0</v>
      </c>
      <c r="U33" s="22"/>
      <c r="V33" s="22">
        <f t="shared" ref="V33:V35" si="10">SUM(D33:O33)+T33</f>
        <v>0</v>
      </c>
      <c r="W33" s="22"/>
      <c r="X33" s="22">
        <v>0</v>
      </c>
      <c r="Y33" s="170"/>
      <c r="Z33" s="22">
        <f t="shared" ref="Z33:Z35" si="11">SUM(V33:X33)</f>
        <v>0</v>
      </c>
    </row>
    <row r="34" spans="1:30" hidden="1" x14ac:dyDescent="0.4">
      <c r="A34" s="9" t="s">
        <v>350</v>
      </c>
      <c r="B34" s="13">
        <v>21</v>
      </c>
      <c r="D34" s="22">
        <v>0</v>
      </c>
      <c r="E34" s="14"/>
      <c r="F34" s="22">
        <v>0</v>
      </c>
      <c r="G34" s="22"/>
      <c r="H34" s="22">
        <v>0</v>
      </c>
      <c r="I34" s="14"/>
      <c r="J34" s="22">
        <v>0</v>
      </c>
      <c r="K34" s="22"/>
      <c r="L34" s="22">
        <v>0</v>
      </c>
      <c r="M34" s="22"/>
      <c r="N34" s="22">
        <v>0</v>
      </c>
      <c r="O34" s="22"/>
      <c r="P34" s="22">
        <v>0</v>
      </c>
      <c r="Q34" s="22"/>
      <c r="R34" s="22">
        <v>0</v>
      </c>
      <c r="S34" s="22"/>
      <c r="T34" s="22">
        <f t="shared" ref="T34" si="12">SUM(P34:S34)</f>
        <v>0</v>
      </c>
      <c r="U34" s="22"/>
      <c r="V34" s="22">
        <f t="shared" ref="V34" si="13">SUM(D34:O34)+T34</f>
        <v>0</v>
      </c>
      <c r="W34" s="22"/>
      <c r="X34" s="22">
        <v>0</v>
      </c>
      <c r="Y34" s="170"/>
      <c r="Z34" s="22">
        <f t="shared" ref="Z34" si="14">SUM(V34:X34)</f>
        <v>0</v>
      </c>
    </row>
    <row r="35" spans="1:30" hidden="1" x14ac:dyDescent="0.4">
      <c r="A35" s="9" t="s">
        <v>316</v>
      </c>
      <c r="B35" s="13">
        <v>20</v>
      </c>
      <c r="D35" s="22">
        <v>0</v>
      </c>
      <c r="E35" s="14"/>
      <c r="F35" s="22">
        <v>0</v>
      </c>
      <c r="G35" s="22"/>
      <c r="H35" s="22">
        <v>0</v>
      </c>
      <c r="I35" s="14"/>
      <c r="J35" s="22"/>
      <c r="K35" s="22"/>
      <c r="L35" s="22">
        <v>0</v>
      </c>
      <c r="M35" s="22"/>
      <c r="N35" s="22">
        <v>0</v>
      </c>
      <c r="O35" s="22"/>
      <c r="P35" s="22">
        <v>0</v>
      </c>
      <c r="Q35" s="22"/>
      <c r="R35" s="22">
        <v>0</v>
      </c>
      <c r="S35" s="22"/>
      <c r="T35" s="22">
        <f t="shared" si="9"/>
        <v>0</v>
      </c>
      <c r="U35" s="22"/>
      <c r="V35" s="22">
        <f t="shared" si="10"/>
        <v>0</v>
      </c>
      <c r="W35" s="22"/>
      <c r="X35" s="22">
        <v>0</v>
      </c>
      <c r="Y35" s="170"/>
      <c r="Z35" s="22">
        <f t="shared" si="11"/>
        <v>0</v>
      </c>
    </row>
    <row r="36" spans="1:30" x14ac:dyDescent="0.4">
      <c r="A36" s="9" t="s">
        <v>260</v>
      </c>
      <c r="B36" s="13">
        <v>24</v>
      </c>
      <c r="D36" s="22">
        <v>0</v>
      </c>
      <c r="E36" s="14"/>
      <c r="F36" s="22">
        <v>0</v>
      </c>
      <c r="G36" s="22"/>
      <c r="H36" s="22">
        <v>0</v>
      </c>
      <c r="I36" s="14"/>
      <c r="J36" s="22">
        <v>0</v>
      </c>
      <c r="K36" s="22"/>
      <c r="L36" s="22">
        <v>0</v>
      </c>
      <c r="M36" s="22"/>
      <c r="N36" s="22">
        <v>-116437235.14</v>
      </c>
      <c r="O36" s="22"/>
      <c r="P36" s="22">
        <v>0</v>
      </c>
      <c r="Q36" s="22"/>
      <c r="R36" s="22">
        <v>0</v>
      </c>
      <c r="S36" s="22"/>
      <c r="T36" s="22">
        <f>SUM(P36:S36)</f>
        <v>0</v>
      </c>
      <c r="U36" s="22"/>
      <c r="V36" s="22">
        <f>SUM(D36:O36)+T36</f>
        <v>-116437235.14</v>
      </c>
      <c r="W36" s="22"/>
      <c r="X36" s="22">
        <v>0</v>
      </c>
      <c r="Y36" s="170"/>
      <c r="Z36" s="22">
        <f>SUM(V36:X36)</f>
        <v>-116437235.14</v>
      </c>
    </row>
    <row r="37" spans="1:30" x14ac:dyDescent="0.4">
      <c r="A37" s="9" t="s">
        <v>257</v>
      </c>
      <c r="B37" s="13"/>
      <c r="D37" s="22">
        <v>0</v>
      </c>
      <c r="E37" s="14"/>
      <c r="F37" s="22">
        <v>0</v>
      </c>
      <c r="G37" s="22"/>
      <c r="H37" s="22">
        <v>0</v>
      </c>
      <c r="I37" s="14"/>
      <c r="J37" s="22">
        <v>0</v>
      </c>
      <c r="K37" s="22"/>
      <c r="L37" s="22">
        <v>1543436.5</v>
      </c>
      <c r="M37" s="22"/>
      <c r="N37" s="22">
        <f>-L37</f>
        <v>-1543436.5</v>
      </c>
      <c r="O37" s="22"/>
      <c r="P37" s="22">
        <v>0</v>
      </c>
      <c r="Q37" s="22"/>
      <c r="R37" s="22">
        <v>0</v>
      </c>
      <c r="S37" s="22"/>
      <c r="T37" s="22">
        <f>SUM(P37:S37)</f>
        <v>0</v>
      </c>
      <c r="U37" s="22"/>
      <c r="V37" s="22">
        <f>SUM(D37:O37)+T37</f>
        <v>0</v>
      </c>
      <c r="W37" s="22"/>
      <c r="X37" s="22">
        <v>0</v>
      </c>
      <c r="Y37" s="170"/>
      <c r="Z37" s="22">
        <f>SUM(V37:X37)</f>
        <v>0</v>
      </c>
    </row>
    <row r="38" spans="1:30" x14ac:dyDescent="0.4">
      <c r="A38" s="9" t="s">
        <v>297</v>
      </c>
      <c r="D38" s="22">
        <v>0</v>
      </c>
      <c r="E38" s="22"/>
      <c r="F38" s="22">
        <v>0</v>
      </c>
      <c r="G38" s="22"/>
      <c r="H38" s="22">
        <v>0</v>
      </c>
      <c r="I38" s="22"/>
      <c r="J38" s="22">
        <v>0</v>
      </c>
      <c r="K38" s="22"/>
      <c r="L38" s="14">
        <v>0</v>
      </c>
      <c r="M38" s="14"/>
      <c r="N38" s="14">
        <f>+'PL_Q3-66'!F37</f>
        <v>-11613483.250000039</v>
      </c>
      <c r="O38" s="22"/>
      <c r="P38" s="22">
        <f>+'PL_Q3-66'!F69</f>
        <v>-6294089.4800000004</v>
      </c>
      <c r="Q38" s="22"/>
      <c r="R38" s="14">
        <f>+'PL_Q3-66'!F73+'PL_Q3-66'!F74</f>
        <v>0</v>
      </c>
      <c r="S38" s="14"/>
      <c r="T38" s="14">
        <f>SUM(P38:S38)</f>
        <v>-6294089.4800000004</v>
      </c>
      <c r="U38" s="22"/>
      <c r="V38" s="22">
        <f>SUM(D38:O38)+T38</f>
        <v>-17907572.730000041</v>
      </c>
      <c r="W38" s="22"/>
      <c r="X38" s="22">
        <f>+'PL_Q3-66'!F38</f>
        <v>-445446.35</v>
      </c>
      <c r="Y38" s="170"/>
      <c r="Z38" s="22">
        <f>SUM(V38:X38)</f>
        <v>-18353019.080000043</v>
      </c>
    </row>
    <row r="39" spans="1:30" hidden="1" x14ac:dyDescent="0.4">
      <c r="A39" s="9" t="s">
        <v>287</v>
      </c>
      <c r="D39" s="22"/>
      <c r="E39" s="22"/>
      <c r="F39" s="22"/>
      <c r="G39" s="22"/>
      <c r="H39" s="22"/>
      <c r="I39" s="22"/>
      <c r="J39" s="22"/>
      <c r="K39" s="22"/>
      <c r="L39" s="14"/>
      <c r="M39" s="14"/>
      <c r="N39" s="14"/>
      <c r="O39" s="22"/>
      <c r="P39" s="22"/>
      <c r="Q39" s="22"/>
      <c r="R39" s="14"/>
      <c r="S39" s="14"/>
      <c r="T39" s="14"/>
      <c r="U39" s="22"/>
      <c r="V39" s="22"/>
      <c r="W39" s="22"/>
      <c r="X39" s="22"/>
      <c r="Y39" s="170"/>
      <c r="Z39" s="22"/>
    </row>
    <row r="40" spans="1:30" hidden="1" x14ac:dyDescent="0.4">
      <c r="A40" s="9" t="s">
        <v>288</v>
      </c>
      <c r="D40" s="22">
        <v>0</v>
      </c>
      <c r="E40" s="22"/>
      <c r="F40" s="22">
        <v>0</v>
      </c>
      <c r="G40" s="22"/>
      <c r="H40" s="22">
        <v>0</v>
      </c>
      <c r="I40" s="22"/>
      <c r="J40" s="22">
        <v>0</v>
      </c>
      <c r="K40" s="22"/>
      <c r="L40" s="14">
        <v>0</v>
      </c>
      <c r="M40" s="14"/>
      <c r="N40" s="14">
        <f>-R40</f>
        <v>0</v>
      </c>
      <c r="O40" s="22"/>
      <c r="P40" s="22">
        <f>+'PL_Q3-66'!F70</f>
        <v>0</v>
      </c>
      <c r="Q40" s="22"/>
      <c r="R40" s="14">
        <f>-R38</f>
        <v>0</v>
      </c>
      <c r="S40" s="14"/>
      <c r="T40" s="14">
        <f>SUM(P40:S40)</f>
        <v>0</v>
      </c>
      <c r="U40" s="22"/>
      <c r="V40" s="22">
        <f>SUM(D40:O40)+T40</f>
        <v>0</v>
      </c>
      <c r="W40" s="22"/>
      <c r="X40" s="22">
        <v>0</v>
      </c>
      <c r="Y40" s="170"/>
      <c r="Z40" s="22">
        <f>SUM(V40:X40)</f>
        <v>0</v>
      </c>
    </row>
    <row r="41" spans="1:30" ht="9.75" customHeight="1" x14ac:dyDescent="0.4">
      <c r="B41" s="13"/>
      <c r="D41" s="172"/>
      <c r="E41" s="170"/>
      <c r="F41" s="172"/>
      <c r="G41" s="22"/>
      <c r="H41" s="172"/>
      <c r="I41" s="170"/>
      <c r="J41" s="172"/>
      <c r="K41" s="22"/>
      <c r="L41" s="172"/>
      <c r="M41" s="182"/>
      <c r="N41" s="172"/>
      <c r="O41" s="22"/>
      <c r="P41" s="172"/>
      <c r="Q41" s="22"/>
      <c r="R41" s="172"/>
      <c r="S41" s="22"/>
      <c r="T41" s="172"/>
      <c r="U41" s="170"/>
      <c r="V41" s="172"/>
      <c r="W41" s="22"/>
      <c r="X41" s="172"/>
      <c r="Y41" s="170"/>
      <c r="Z41" s="172"/>
    </row>
    <row r="42" spans="1:30" ht="11.25" hidden="1" customHeight="1" x14ac:dyDescent="0.4"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22"/>
      <c r="W42" s="22"/>
      <c r="X42" s="22"/>
      <c r="Y42" s="170"/>
      <c r="Z42" s="170"/>
    </row>
    <row r="43" spans="1:30" ht="18.75" thickBot="1" x14ac:dyDescent="0.45">
      <c r="A43" s="9" t="s">
        <v>385</v>
      </c>
      <c r="D43" s="183">
        <f>SUM(D30:D42)</f>
        <v>1164401069.76</v>
      </c>
      <c r="E43" s="14"/>
      <c r="F43" s="183">
        <f>SUM(F30:F42)</f>
        <v>0</v>
      </c>
      <c r="G43" s="22"/>
      <c r="H43" s="183">
        <f>SUM(H30:H42)</f>
        <v>688264273.16999996</v>
      </c>
      <c r="I43" s="14"/>
      <c r="J43" s="183">
        <f>SUM(J30:J42)</f>
        <v>0</v>
      </c>
      <c r="K43" s="22"/>
      <c r="L43" s="183">
        <f>SUM(L30:L42)</f>
        <v>103052013.31</v>
      </c>
      <c r="M43" s="14"/>
      <c r="N43" s="183">
        <f>SUM(N30:N42)</f>
        <v>510775006.55000001</v>
      </c>
      <c r="O43" s="22"/>
      <c r="P43" s="183">
        <f>SUM(P30:P42)</f>
        <v>11446506.73</v>
      </c>
      <c r="Q43" s="22"/>
      <c r="R43" s="183">
        <f>SUM(R30:R42)</f>
        <v>0</v>
      </c>
      <c r="S43" s="22"/>
      <c r="T43" s="183">
        <f>SUM(T30:T42)</f>
        <v>11446506.73</v>
      </c>
      <c r="U43" s="14"/>
      <c r="V43" s="183">
        <f>SUM(V30:V42)</f>
        <v>2477938869.52</v>
      </c>
      <c r="W43" s="22"/>
      <c r="X43" s="183">
        <f>SUM(X30:X42)</f>
        <v>62410408.140000001</v>
      </c>
      <c r="Y43" s="170"/>
      <c r="Z43" s="183">
        <f>SUM(Z30:Z42)</f>
        <v>2540349277.6599998</v>
      </c>
      <c r="AB43" s="18">
        <f>Z43-'BS_Q3-66'!F118</f>
        <v>0</v>
      </c>
      <c r="AC43" s="170">
        <f>N43-'BS_Q3-66'!F114</f>
        <v>0</v>
      </c>
      <c r="AD43" s="170">
        <f>L43-'BS_Q3-66'!F113</f>
        <v>0</v>
      </c>
    </row>
    <row r="44" spans="1:30" ht="7.5" customHeight="1" thickTop="1" x14ac:dyDescent="0.4">
      <c r="D44" s="170"/>
      <c r="E44" s="170"/>
      <c r="F44" s="170"/>
      <c r="G44" s="170"/>
      <c r="H44" s="170"/>
      <c r="I44" s="170"/>
      <c r="J44" s="170"/>
      <c r="K44" s="170"/>
      <c r="L44" s="170"/>
      <c r="M44" s="170"/>
      <c r="N44" s="170"/>
      <c r="O44" s="170"/>
      <c r="P44" s="170"/>
      <c r="Q44" s="170"/>
      <c r="R44" s="170"/>
      <c r="S44" s="170"/>
      <c r="T44" s="170"/>
      <c r="U44" s="170"/>
      <c r="V44" s="170"/>
      <c r="W44" s="170"/>
      <c r="X44" s="170"/>
      <c r="Y44" s="170"/>
      <c r="Z44" s="170"/>
      <c r="AB44" s="170">
        <f>N43-'BS_Q3-66'!F114</f>
        <v>0</v>
      </c>
    </row>
    <row r="45" spans="1:30" x14ac:dyDescent="0.4">
      <c r="A45" s="15" t="s">
        <v>298</v>
      </c>
    </row>
    <row r="46" spans="1:30" x14ac:dyDescent="0.4">
      <c r="A46" s="138"/>
    </row>
    <row r="48" spans="1:30" s="3" customFormat="1" x14ac:dyDescent="0.4">
      <c r="A48" s="25" t="s">
        <v>145</v>
      </c>
      <c r="C48" s="13"/>
      <c r="D48" s="25"/>
      <c r="E48" s="13"/>
      <c r="F48" s="13"/>
      <c r="G48" s="13"/>
      <c r="H48" s="13"/>
      <c r="I48" s="13"/>
      <c r="J48" s="25" t="s">
        <v>145</v>
      </c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13"/>
      <c r="V48" s="13"/>
      <c r="W48" s="13"/>
      <c r="X48" s="13"/>
      <c r="Y48" s="13"/>
      <c r="AB48" s="7"/>
    </row>
    <row r="49" spans="1:28" s="3" customFormat="1" x14ac:dyDescent="0.4">
      <c r="A49" s="222"/>
      <c r="B49" s="222"/>
      <c r="D49" s="25"/>
      <c r="E49" s="25"/>
      <c r="F49" s="25"/>
      <c r="G49" s="25"/>
      <c r="H49" s="25"/>
      <c r="I49" s="25"/>
      <c r="J49" s="25"/>
      <c r="K49" s="25"/>
      <c r="L49" s="13"/>
      <c r="M49" s="25"/>
      <c r="N49" s="13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AB49" s="7"/>
    </row>
    <row r="50" spans="1:28" x14ac:dyDescent="0.4">
      <c r="A50" s="26"/>
    </row>
  </sheetData>
  <mergeCells count="10">
    <mergeCell ref="X1:Z1"/>
    <mergeCell ref="A49:B49"/>
    <mergeCell ref="A3:Z3"/>
    <mergeCell ref="A6:Z6"/>
    <mergeCell ref="A5:Z5"/>
    <mergeCell ref="L9:N9"/>
    <mergeCell ref="P9:T9"/>
    <mergeCell ref="D8:Z8"/>
    <mergeCell ref="A4:Z4"/>
    <mergeCell ref="X2:Z2"/>
  </mergeCells>
  <phoneticPr fontId="0" type="noConversion"/>
  <pageMargins left="0.53" right="0" top="0.23622047244094499" bottom="0.28000000000000003" header="0.3" footer="0.17"/>
  <pageSetup paperSize="9" scale="80" orientation="landscape" r:id="rId1"/>
  <headerFooter alignWithMargins="0">
    <oddFooter>&amp;C&amp;"Angsana New,Regular"&amp;12 4</oddFooter>
  </headerFooter>
  <colBreaks count="1" manualBreakCount="1">
    <brk id="26" max="42" man="1"/>
  </colBreaks>
  <ignoredErrors>
    <ignoredError sqref="V36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45"/>
  <sheetViews>
    <sheetView zoomScale="80" zoomScaleNormal="80" zoomScaleSheetLayoutView="100" workbookViewId="0">
      <selection activeCell="T33" sqref="T33"/>
    </sheetView>
  </sheetViews>
  <sheetFormatPr defaultColWidth="9.140625" defaultRowHeight="21" x14ac:dyDescent="0.45"/>
  <cols>
    <col min="1" max="1" width="41.28515625" style="90" customWidth="1"/>
    <col min="2" max="2" width="4.85546875" style="90" customWidth="1"/>
    <col min="3" max="3" width="1.42578125" style="90" customWidth="1"/>
    <col min="4" max="4" width="16.28515625" style="90" customWidth="1"/>
    <col min="5" max="5" width="1.42578125" style="90" customWidth="1"/>
    <col min="6" max="6" width="14.42578125" style="90" hidden="1" customWidth="1"/>
    <col min="7" max="7" width="1.5703125" style="90" hidden="1" customWidth="1"/>
    <col min="8" max="8" width="15" style="90" customWidth="1"/>
    <col min="9" max="9" width="1.28515625" style="90" customWidth="1"/>
    <col min="10" max="10" width="15" style="90" customWidth="1"/>
    <col min="11" max="11" width="1.42578125" style="90" hidden="1" customWidth="1"/>
    <col min="12" max="12" width="12.140625" style="90" hidden="1" customWidth="1"/>
    <col min="13" max="13" width="1.42578125" style="90" hidden="1" customWidth="1"/>
    <col min="14" max="14" width="11.85546875" style="90" hidden="1" customWidth="1"/>
    <col min="15" max="15" width="1.42578125" style="90" hidden="1" customWidth="1"/>
    <col min="16" max="16" width="11.85546875" style="90" hidden="1" customWidth="1"/>
    <col min="17" max="17" width="1" style="90" customWidth="1"/>
    <col min="18" max="18" width="15.28515625" style="90" customWidth="1"/>
    <col min="19" max="19" width="1.42578125" style="90" customWidth="1"/>
    <col min="20" max="20" width="16.140625" style="90" customWidth="1"/>
    <col min="21" max="21" width="1.140625" style="90" customWidth="1"/>
    <col min="22" max="22" width="20.7109375" style="90" customWidth="1"/>
    <col min="23" max="23" width="1.42578125" style="90" customWidth="1"/>
    <col min="24" max="24" width="17" style="90" customWidth="1"/>
    <col min="25" max="25" width="13.5703125" style="90" bestFit="1" customWidth="1"/>
    <col min="26" max="26" width="10.5703125" style="90" bestFit="1" customWidth="1"/>
    <col min="27" max="16384" width="9.140625" style="90"/>
  </cols>
  <sheetData>
    <row r="1" spans="1:26" ht="21.75" customHeight="1" x14ac:dyDescent="0.45">
      <c r="A1" s="139"/>
      <c r="V1" s="229"/>
      <c r="W1" s="229"/>
      <c r="X1" s="229"/>
    </row>
    <row r="2" spans="1:26" ht="16.5" customHeight="1" x14ac:dyDescent="0.45">
      <c r="T2" s="233" t="s">
        <v>310</v>
      </c>
      <c r="U2" s="233"/>
      <c r="V2" s="233"/>
      <c r="W2" s="233"/>
      <c r="X2" s="233"/>
    </row>
    <row r="3" spans="1:26" x14ac:dyDescent="0.45">
      <c r="A3" s="231" t="str">
        <f>'Changed-Conso'!A3</f>
        <v>THE BROOKER GROUP PUBLIC COMPANY LIMITED AND ITS SUBSIDIARIES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143"/>
    </row>
    <row r="4" spans="1:26" x14ac:dyDescent="0.45">
      <c r="A4" s="232" t="str">
        <f>'Changed-Conso'!A4</f>
        <v>STATEMENTS OF CHANGES IN SHAREHOLDERS' EQUITY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</row>
    <row r="5" spans="1:26" x14ac:dyDescent="0.45">
      <c r="A5" s="232" t="s">
        <v>201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</row>
    <row r="6" spans="1:26" x14ac:dyDescent="0.45">
      <c r="A6" s="232" t="s">
        <v>382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</row>
    <row r="7" spans="1:26" x14ac:dyDescent="0.45">
      <c r="D7" s="230" t="s">
        <v>208</v>
      </c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  <c r="U7" s="230"/>
      <c r="V7" s="230"/>
      <c r="W7" s="230"/>
      <c r="X7" s="230"/>
    </row>
    <row r="8" spans="1:26" x14ac:dyDescent="0.45">
      <c r="B8" s="88"/>
      <c r="C8" s="88"/>
      <c r="D8" s="140"/>
      <c r="E8" s="140"/>
      <c r="F8" s="201"/>
      <c r="G8" s="201"/>
      <c r="H8" s="201"/>
      <c r="I8" s="140"/>
      <c r="J8" s="88" t="s">
        <v>275</v>
      </c>
      <c r="K8" s="140"/>
      <c r="L8" s="144" t="s">
        <v>189</v>
      </c>
      <c r="M8" s="145"/>
      <c r="N8" s="145"/>
      <c r="O8" s="145"/>
      <c r="P8" s="145"/>
      <c r="Q8" s="145"/>
      <c r="R8" s="228" t="s">
        <v>212</v>
      </c>
      <c r="S8" s="228"/>
      <c r="T8" s="228"/>
      <c r="U8" s="87"/>
      <c r="V8" s="87" t="s">
        <v>263</v>
      </c>
      <c r="W8" s="87"/>
    </row>
    <row r="9" spans="1:26" x14ac:dyDescent="0.45">
      <c r="D9" s="88" t="s">
        <v>196</v>
      </c>
      <c r="E9" s="145"/>
      <c r="F9" s="201"/>
      <c r="G9" s="201"/>
      <c r="H9" s="88" t="s">
        <v>273</v>
      </c>
      <c r="I9" s="145"/>
      <c r="J9" s="88" t="s">
        <v>276</v>
      </c>
      <c r="K9" s="145"/>
      <c r="L9" s="144" t="s">
        <v>188</v>
      </c>
      <c r="M9" s="144"/>
      <c r="N9" s="144" t="s">
        <v>191</v>
      </c>
      <c r="O9" s="144"/>
      <c r="P9" s="144" t="s">
        <v>169</v>
      </c>
      <c r="Q9" s="145"/>
      <c r="V9" s="212" t="s">
        <v>225</v>
      </c>
      <c r="W9" s="87"/>
    </row>
    <row r="10" spans="1:26" x14ac:dyDescent="0.45">
      <c r="D10" s="88" t="s">
        <v>166</v>
      </c>
      <c r="E10" s="146"/>
      <c r="F10" s="201"/>
      <c r="G10" s="201"/>
      <c r="H10" s="88" t="s">
        <v>274</v>
      </c>
      <c r="I10" s="146"/>
      <c r="J10" s="201" t="s">
        <v>277</v>
      </c>
      <c r="K10" s="144"/>
      <c r="L10" s="144" t="s">
        <v>176</v>
      </c>
      <c r="M10" s="144"/>
      <c r="N10" s="99" t="s">
        <v>192</v>
      </c>
      <c r="O10" s="144"/>
      <c r="P10" s="144" t="s">
        <v>170</v>
      </c>
      <c r="Q10" s="145"/>
      <c r="R10" s="88" t="s">
        <v>173</v>
      </c>
      <c r="S10" s="147"/>
      <c r="T10" s="85"/>
      <c r="U10" s="85"/>
      <c r="V10" s="149" t="s">
        <v>264</v>
      </c>
      <c r="W10" s="85"/>
    </row>
    <row r="11" spans="1:26" x14ac:dyDescent="0.45">
      <c r="B11" s="162" t="s">
        <v>214</v>
      </c>
      <c r="D11" s="98" t="s">
        <v>167</v>
      </c>
      <c r="E11" s="148"/>
      <c r="F11" s="200" t="s">
        <v>237</v>
      </c>
      <c r="G11" s="99"/>
      <c r="H11" s="98" t="s">
        <v>168</v>
      </c>
      <c r="I11" s="148"/>
      <c r="J11" s="98" t="s">
        <v>278</v>
      </c>
      <c r="K11" s="149"/>
      <c r="L11" s="212" t="s">
        <v>177</v>
      </c>
      <c r="M11" s="149"/>
      <c r="N11" s="212" t="s">
        <v>193</v>
      </c>
      <c r="O11" s="149"/>
      <c r="P11" s="212" t="s">
        <v>171</v>
      </c>
      <c r="Q11" s="145"/>
      <c r="R11" s="98" t="s">
        <v>174</v>
      </c>
      <c r="S11" s="147"/>
      <c r="T11" s="98" t="s">
        <v>155</v>
      </c>
      <c r="U11" s="88"/>
      <c r="V11" s="212" t="s">
        <v>265</v>
      </c>
      <c r="W11" s="87"/>
      <c r="X11" s="98" t="s">
        <v>175</v>
      </c>
    </row>
    <row r="12" spans="1:26" ht="9.75" customHeight="1" x14ac:dyDescent="0.45">
      <c r="C12" s="149"/>
      <c r="F12" s="165"/>
      <c r="G12" s="205"/>
      <c r="R12" s="87"/>
      <c r="S12" s="149"/>
      <c r="T12" s="150"/>
      <c r="U12" s="150"/>
      <c r="V12" s="150"/>
      <c r="W12" s="148"/>
      <c r="X12" s="150"/>
    </row>
    <row r="13" spans="1:26" x14ac:dyDescent="0.45">
      <c r="A13" s="86" t="s">
        <v>348</v>
      </c>
      <c r="D13" s="140">
        <v>1031660147.25</v>
      </c>
      <c r="E13" s="140"/>
      <c r="F13" s="140">
        <v>0</v>
      </c>
      <c r="G13" s="140"/>
      <c r="H13" s="140">
        <v>669983717.94000006</v>
      </c>
      <c r="I13" s="140"/>
      <c r="J13" s="140">
        <v>29008465.079999998</v>
      </c>
      <c r="K13" s="140"/>
      <c r="L13" s="145">
        <v>0</v>
      </c>
      <c r="M13" s="140"/>
      <c r="N13" s="140">
        <v>0</v>
      </c>
      <c r="O13" s="140"/>
      <c r="P13" s="140">
        <v>0</v>
      </c>
      <c r="Q13" s="140"/>
      <c r="R13" s="140">
        <v>97705272.879999995</v>
      </c>
      <c r="S13" s="140"/>
      <c r="T13" s="140">
        <v>1136122775.5899999</v>
      </c>
      <c r="U13" s="140"/>
      <c r="V13" s="140">
        <v>0</v>
      </c>
      <c r="W13" s="140"/>
      <c r="X13" s="140">
        <f>SUM(D13:V13)</f>
        <v>2964480378.7399998</v>
      </c>
      <c r="Y13" s="180"/>
      <c r="Z13" s="145"/>
    </row>
    <row r="14" spans="1:26" ht="9" customHeight="1" x14ac:dyDescent="0.45"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140"/>
      <c r="T14" s="140"/>
      <c r="U14" s="140"/>
      <c r="V14" s="22"/>
      <c r="W14" s="140"/>
      <c r="X14" s="140"/>
      <c r="Z14" s="145"/>
    </row>
    <row r="15" spans="1:26" x14ac:dyDescent="0.45">
      <c r="A15" s="90" t="s">
        <v>267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140"/>
      <c r="T15" s="140"/>
      <c r="U15" s="140"/>
      <c r="V15" s="22"/>
      <c r="W15" s="140"/>
      <c r="X15" s="140"/>
      <c r="Z15" s="145"/>
    </row>
    <row r="16" spans="1:26" x14ac:dyDescent="0.45">
      <c r="A16" s="90" t="s">
        <v>313</v>
      </c>
      <c r="B16" s="13">
        <v>21</v>
      </c>
      <c r="D16" s="145">
        <v>27905071.670000002</v>
      </c>
      <c r="E16" s="145"/>
      <c r="F16" s="145">
        <v>0</v>
      </c>
      <c r="G16" s="145"/>
      <c r="H16" s="145">
        <v>18280555.23</v>
      </c>
      <c r="I16" s="145"/>
      <c r="J16" s="145">
        <v>-29008465.079999998</v>
      </c>
      <c r="K16" s="145"/>
      <c r="L16" s="145">
        <v>0</v>
      </c>
      <c r="M16" s="145"/>
      <c r="N16" s="140">
        <v>0</v>
      </c>
      <c r="O16" s="145"/>
      <c r="P16" s="145">
        <v>0</v>
      </c>
      <c r="Q16" s="145"/>
      <c r="R16" s="145">
        <v>0</v>
      </c>
      <c r="S16" s="145"/>
      <c r="T16" s="145">
        <v>0</v>
      </c>
      <c r="U16" s="145"/>
      <c r="V16" s="145">
        <v>0</v>
      </c>
      <c r="W16" s="145"/>
      <c r="X16" s="140">
        <f t="shared" ref="X16:X18" si="0">SUM(D16:V16)</f>
        <v>17177161.820000008</v>
      </c>
      <c r="Z16" s="145"/>
    </row>
    <row r="17" spans="1:26" x14ac:dyDescent="0.45">
      <c r="A17" s="90" t="s">
        <v>349</v>
      </c>
      <c r="B17" s="13">
        <v>21</v>
      </c>
      <c r="D17" s="145">
        <v>104835850.84</v>
      </c>
      <c r="E17" s="145"/>
      <c r="F17" s="145">
        <v>0</v>
      </c>
      <c r="G17" s="145"/>
      <c r="H17" s="145">
        <v>0</v>
      </c>
      <c r="I17" s="145"/>
      <c r="J17" s="145">
        <v>0</v>
      </c>
      <c r="K17" s="145"/>
      <c r="L17" s="145">
        <v>0</v>
      </c>
      <c r="M17" s="145"/>
      <c r="N17" s="140">
        <v>0</v>
      </c>
      <c r="O17" s="145"/>
      <c r="P17" s="145">
        <v>0</v>
      </c>
      <c r="Q17" s="145"/>
      <c r="R17" s="145">
        <v>0</v>
      </c>
      <c r="S17" s="145"/>
      <c r="T17" s="145">
        <f>-D17</f>
        <v>-104835850.84</v>
      </c>
      <c r="U17" s="145"/>
      <c r="V17" s="145">
        <v>0</v>
      </c>
      <c r="W17" s="145"/>
      <c r="X17" s="140">
        <f t="shared" si="0"/>
        <v>0</v>
      </c>
      <c r="Z17" s="145"/>
    </row>
    <row r="18" spans="1:26" hidden="1" x14ac:dyDescent="0.45">
      <c r="A18" s="90" t="s">
        <v>314</v>
      </c>
      <c r="B18" s="13"/>
      <c r="D18" s="145">
        <v>0</v>
      </c>
      <c r="E18" s="145"/>
      <c r="F18" s="145">
        <v>0</v>
      </c>
      <c r="G18" s="145"/>
      <c r="H18" s="145">
        <v>0</v>
      </c>
      <c r="I18" s="145"/>
      <c r="J18" s="145"/>
      <c r="K18" s="145"/>
      <c r="L18" s="145">
        <v>0</v>
      </c>
      <c r="M18" s="145"/>
      <c r="N18" s="140">
        <v>0</v>
      </c>
      <c r="O18" s="145"/>
      <c r="P18" s="145">
        <v>0</v>
      </c>
      <c r="Q18" s="145"/>
      <c r="R18" s="145">
        <v>0</v>
      </c>
      <c r="S18" s="145"/>
      <c r="T18" s="145">
        <v>0</v>
      </c>
      <c r="U18" s="145"/>
      <c r="V18" s="145">
        <v>0</v>
      </c>
      <c r="W18" s="145"/>
      <c r="X18" s="140">
        <f t="shared" si="0"/>
        <v>0</v>
      </c>
      <c r="Z18" s="145"/>
    </row>
    <row r="19" spans="1:26" x14ac:dyDescent="0.45">
      <c r="A19" s="166" t="s">
        <v>294</v>
      </c>
      <c r="B19" s="13">
        <v>24</v>
      </c>
      <c r="C19" s="145"/>
      <c r="D19" s="145">
        <v>0</v>
      </c>
      <c r="E19" s="145"/>
      <c r="F19" s="145">
        <v>0</v>
      </c>
      <c r="G19" s="145"/>
      <c r="H19" s="145">
        <v>0</v>
      </c>
      <c r="I19" s="145"/>
      <c r="J19" s="145">
        <v>0</v>
      </c>
      <c r="K19" s="145"/>
      <c r="L19" s="145">
        <v>0</v>
      </c>
      <c r="M19" s="145"/>
      <c r="N19" s="140">
        <v>0</v>
      </c>
      <c r="O19" s="145"/>
      <c r="P19" s="145">
        <v>0</v>
      </c>
      <c r="Q19" s="145"/>
      <c r="R19" s="145">
        <v>0</v>
      </c>
      <c r="S19" s="145"/>
      <c r="T19" s="145">
        <v>-88509177.920000002</v>
      </c>
      <c r="U19" s="145"/>
      <c r="V19" s="145">
        <v>0</v>
      </c>
      <c r="W19" s="145"/>
      <c r="X19" s="140">
        <f>SUM(D19:V19)</f>
        <v>-88509177.920000002</v>
      </c>
    </row>
    <row r="20" spans="1:26" x14ac:dyDescent="0.45">
      <c r="A20" s="102" t="s">
        <v>257</v>
      </c>
      <c r="B20" s="207"/>
      <c r="C20" s="145"/>
      <c r="D20" s="145">
        <v>0</v>
      </c>
      <c r="E20" s="145"/>
      <c r="F20" s="145">
        <v>0</v>
      </c>
      <c r="G20" s="145"/>
      <c r="H20" s="145">
        <v>0</v>
      </c>
      <c r="I20" s="145"/>
      <c r="J20" s="145">
        <v>0</v>
      </c>
      <c r="K20" s="145"/>
      <c r="L20" s="145"/>
      <c r="M20" s="145"/>
      <c r="N20" s="140"/>
      <c r="O20" s="145"/>
      <c r="P20" s="145"/>
      <c r="Q20" s="145"/>
      <c r="R20" s="145">
        <v>3803303.93</v>
      </c>
      <c r="S20" s="145"/>
      <c r="T20" s="145">
        <f>-R20</f>
        <v>-3803303.93</v>
      </c>
      <c r="U20" s="145"/>
      <c r="V20" s="145">
        <v>0</v>
      </c>
      <c r="W20" s="145"/>
      <c r="X20" s="140">
        <f>SUM(D20:V20)</f>
        <v>0</v>
      </c>
      <c r="Y20" s="145"/>
      <c r="Z20" s="140"/>
    </row>
    <row r="21" spans="1:26" x14ac:dyDescent="0.45">
      <c r="A21" s="167" t="s">
        <v>297</v>
      </c>
      <c r="B21" s="208"/>
      <c r="C21" s="145"/>
      <c r="D21" s="140">
        <v>0</v>
      </c>
      <c r="E21" s="140"/>
      <c r="F21" s="140">
        <v>0</v>
      </c>
      <c r="G21" s="140"/>
      <c r="H21" s="140">
        <v>0</v>
      </c>
      <c r="I21" s="140"/>
      <c r="J21" s="140">
        <v>0</v>
      </c>
      <c r="K21" s="140"/>
      <c r="L21" s="140">
        <v>0</v>
      </c>
      <c r="M21" s="140"/>
      <c r="N21" s="140">
        <v>0</v>
      </c>
      <c r="O21" s="140"/>
      <c r="P21" s="140">
        <v>0</v>
      </c>
      <c r="Q21" s="140"/>
      <c r="R21" s="140">
        <v>0</v>
      </c>
      <c r="S21" s="140"/>
      <c r="T21" s="140">
        <f>+'PL_Q3-66'!L37</f>
        <v>189559548.24000004</v>
      </c>
      <c r="U21" s="140"/>
      <c r="V21" s="140">
        <v>0</v>
      </c>
      <c r="W21" s="140"/>
      <c r="X21" s="140">
        <f>SUM(D21:V21)</f>
        <v>189559548.24000004</v>
      </c>
      <c r="Y21" s="180">
        <f>T21-'PL_Q3-66'!L39</f>
        <v>0</v>
      </c>
    </row>
    <row r="22" spans="1:26" hidden="1" x14ac:dyDescent="0.45">
      <c r="A22" s="90" t="s">
        <v>287</v>
      </c>
      <c r="B22" s="145"/>
      <c r="C22" s="145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80"/>
    </row>
    <row r="23" spans="1:26" hidden="1" x14ac:dyDescent="0.45">
      <c r="A23" s="90" t="s">
        <v>288</v>
      </c>
      <c r="B23" s="145"/>
      <c r="C23" s="145"/>
      <c r="D23" s="140">
        <v>0</v>
      </c>
      <c r="E23" s="140"/>
      <c r="F23" s="140">
        <v>0</v>
      </c>
      <c r="G23" s="140"/>
      <c r="H23" s="140">
        <v>0</v>
      </c>
      <c r="I23" s="140"/>
      <c r="J23" s="140">
        <v>0</v>
      </c>
      <c r="K23" s="140"/>
      <c r="L23" s="140">
        <v>0</v>
      </c>
      <c r="M23" s="140"/>
      <c r="N23" s="140">
        <v>0</v>
      </c>
      <c r="O23" s="140"/>
      <c r="P23" s="140">
        <v>0</v>
      </c>
      <c r="Q23" s="140"/>
      <c r="R23" s="140">
        <v>0</v>
      </c>
      <c r="S23" s="140"/>
      <c r="T23" s="140">
        <f>-V23</f>
        <v>0</v>
      </c>
      <c r="U23" s="140"/>
      <c r="V23" s="140">
        <f>-V21</f>
        <v>0</v>
      </c>
      <c r="W23" s="140"/>
      <c r="X23" s="140">
        <f>SUM(D23:V23)</f>
        <v>0</v>
      </c>
      <c r="Y23" s="180"/>
    </row>
    <row r="24" spans="1:26" ht="8.25" customHeight="1" x14ac:dyDescent="0.45">
      <c r="B24" s="209"/>
      <c r="D24" s="178"/>
      <c r="E24" s="145"/>
      <c r="F24" s="178"/>
      <c r="G24" s="140"/>
      <c r="H24" s="178"/>
      <c r="I24" s="145"/>
      <c r="J24" s="178"/>
      <c r="K24" s="140"/>
      <c r="L24" s="178"/>
      <c r="M24" s="140"/>
      <c r="N24" s="178"/>
      <c r="O24" s="140"/>
      <c r="P24" s="178"/>
      <c r="Q24" s="145"/>
      <c r="R24" s="178"/>
      <c r="S24" s="145"/>
      <c r="T24" s="178"/>
      <c r="U24" s="140"/>
      <c r="V24" s="178"/>
      <c r="W24" s="140"/>
      <c r="X24" s="178"/>
    </row>
    <row r="25" spans="1:26" ht="21.75" thickBot="1" x14ac:dyDescent="0.5">
      <c r="A25" s="86" t="s">
        <v>363</v>
      </c>
      <c r="B25" s="209"/>
      <c r="D25" s="179">
        <f>SUM(D13:D24)</f>
        <v>1164401069.76</v>
      </c>
      <c r="E25" s="145"/>
      <c r="F25" s="179">
        <f>SUM(F13:F24)</f>
        <v>0</v>
      </c>
      <c r="G25" s="140"/>
      <c r="H25" s="179">
        <f>SUM(H13:H24)</f>
        <v>688264273.17000008</v>
      </c>
      <c r="I25" s="145"/>
      <c r="J25" s="179">
        <f>SUM(J13:J24)</f>
        <v>0</v>
      </c>
      <c r="K25" s="140"/>
      <c r="L25" s="179">
        <f>SUM(L19:L21)</f>
        <v>0</v>
      </c>
      <c r="M25" s="140"/>
      <c r="N25" s="179">
        <f>SUM(N19:N21)</f>
        <v>0</v>
      </c>
      <c r="O25" s="140"/>
      <c r="P25" s="179">
        <f>SUM(P19:P21)</f>
        <v>0</v>
      </c>
      <c r="Q25" s="145"/>
      <c r="R25" s="179">
        <f>SUM(R13:R24)</f>
        <v>101508576.81</v>
      </c>
      <c r="S25" s="145"/>
      <c r="T25" s="179">
        <f>SUM(T13:T24)</f>
        <v>1128533991.1400001</v>
      </c>
      <c r="U25" s="140"/>
      <c r="V25" s="179">
        <f>SUM(V13:V24)</f>
        <v>0</v>
      </c>
      <c r="W25" s="140"/>
      <c r="X25" s="179">
        <f>SUM(X13:X24)</f>
        <v>3082707910.8800001</v>
      </c>
      <c r="Y25" s="180"/>
    </row>
    <row r="26" spans="1:26" ht="10.5" customHeight="1" thickTop="1" x14ac:dyDescent="0.45">
      <c r="B26" s="209"/>
      <c r="D26" s="180"/>
      <c r="E26" s="180"/>
      <c r="F26" s="145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0"/>
      <c r="T26" s="180"/>
      <c r="U26" s="180"/>
      <c r="V26" s="145"/>
      <c r="W26" s="180"/>
      <c r="X26" s="180"/>
    </row>
    <row r="27" spans="1:26" x14ac:dyDescent="0.45">
      <c r="A27" s="86" t="s">
        <v>384</v>
      </c>
      <c r="B27" s="209"/>
      <c r="D27" s="140">
        <v>1164401069.76</v>
      </c>
      <c r="E27" s="140"/>
      <c r="F27" s="140">
        <v>0</v>
      </c>
      <c r="G27" s="140"/>
      <c r="H27" s="140">
        <v>688264273.16999996</v>
      </c>
      <c r="I27" s="140"/>
      <c r="J27" s="140">
        <v>0</v>
      </c>
      <c r="K27" s="140"/>
      <c r="L27" s="145">
        <v>0</v>
      </c>
      <c r="M27" s="140"/>
      <c r="N27" s="140">
        <v>0</v>
      </c>
      <c r="O27" s="140"/>
      <c r="P27" s="140">
        <v>0</v>
      </c>
      <c r="Q27" s="140"/>
      <c r="R27" s="140">
        <v>101508576.81</v>
      </c>
      <c r="S27" s="140"/>
      <c r="T27" s="140">
        <v>972483609.41999996</v>
      </c>
      <c r="U27" s="140"/>
      <c r="V27" s="140">
        <v>0</v>
      </c>
      <c r="W27" s="140"/>
      <c r="X27" s="140">
        <f>SUM(D27:V27)</f>
        <v>2926657529.1599998</v>
      </c>
      <c r="Z27" s="145"/>
    </row>
    <row r="28" spans="1:26" ht="9.75" customHeight="1" x14ac:dyDescent="0.45">
      <c r="B28" s="209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140"/>
      <c r="T28" s="140"/>
      <c r="U28" s="140"/>
      <c r="V28" s="22"/>
      <c r="W28" s="140"/>
      <c r="X28" s="140"/>
    </row>
    <row r="29" spans="1:26" x14ac:dyDescent="0.45">
      <c r="A29" s="90" t="s">
        <v>267</v>
      </c>
      <c r="B29" s="209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140"/>
      <c r="T29" s="140"/>
      <c r="U29" s="140"/>
      <c r="V29" s="22"/>
      <c r="W29" s="140"/>
      <c r="X29" s="140"/>
    </row>
    <row r="30" spans="1:26" hidden="1" x14ac:dyDescent="0.45">
      <c r="A30" s="90" t="s">
        <v>313</v>
      </c>
      <c r="B30" s="13">
        <v>21</v>
      </c>
      <c r="D30" s="145">
        <v>0</v>
      </c>
      <c r="E30" s="145"/>
      <c r="F30" s="145">
        <v>0</v>
      </c>
      <c r="G30" s="145"/>
      <c r="H30" s="145">
        <v>0</v>
      </c>
      <c r="I30" s="145"/>
      <c r="J30" s="145">
        <v>0</v>
      </c>
      <c r="K30" s="145"/>
      <c r="L30" s="145">
        <v>0</v>
      </c>
      <c r="M30" s="145"/>
      <c r="N30" s="140">
        <v>0</v>
      </c>
      <c r="O30" s="145"/>
      <c r="P30" s="145">
        <v>0</v>
      </c>
      <c r="Q30" s="145"/>
      <c r="R30" s="145">
        <v>0</v>
      </c>
      <c r="S30" s="145"/>
      <c r="T30" s="145">
        <v>0</v>
      </c>
      <c r="U30" s="145"/>
      <c r="V30" s="145">
        <v>0</v>
      </c>
      <c r="W30" s="145"/>
      <c r="X30" s="140">
        <f t="shared" ref="X30:X32" si="1">SUM(D30:V30)</f>
        <v>0</v>
      </c>
    </row>
    <row r="31" spans="1:26" hidden="1" x14ac:dyDescent="0.45">
      <c r="A31" s="90" t="s">
        <v>349</v>
      </c>
      <c r="B31" s="13">
        <v>21</v>
      </c>
      <c r="D31" s="145">
        <v>0</v>
      </c>
      <c r="E31" s="145"/>
      <c r="F31" s="145">
        <v>0</v>
      </c>
      <c r="G31" s="145"/>
      <c r="H31" s="145">
        <v>0</v>
      </c>
      <c r="I31" s="145"/>
      <c r="J31" s="145">
        <v>0</v>
      </c>
      <c r="K31" s="145"/>
      <c r="L31" s="145">
        <v>0</v>
      </c>
      <c r="M31" s="145"/>
      <c r="N31" s="140">
        <v>0</v>
      </c>
      <c r="O31" s="145"/>
      <c r="P31" s="145">
        <v>0</v>
      </c>
      <c r="Q31" s="145"/>
      <c r="R31" s="145">
        <v>0</v>
      </c>
      <c r="S31" s="145"/>
      <c r="T31" s="145">
        <v>0</v>
      </c>
      <c r="U31" s="145"/>
      <c r="V31" s="145">
        <v>0</v>
      </c>
      <c r="W31" s="145"/>
      <c r="X31" s="140">
        <f t="shared" ref="X31" si="2">SUM(D31:V31)</f>
        <v>0</v>
      </c>
    </row>
    <row r="32" spans="1:26" hidden="1" x14ac:dyDescent="0.45">
      <c r="A32" s="90" t="s">
        <v>314</v>
      </c>
      <c r="B32" s="13">
        <v>21</v>
      </c>
      <c r="D32" s="145">
        <v>0</v>
      </c>
      <c r="E32" s="145"/>
      <c r="F32" s="145">
        <v>0</v>
      </c>
      <c r="G32" s="145"/>
      <c r="H32" s="145">
        <v>0</v>
      </c>
      <c r="I32" s="145"/>
      <c r="J32" s="145"/>
      <c r="K32" s="145"/>
      <c r="L32" s="145">
        <v>0</v>
      </c>
      <c r="M32" s="145"/>
      <c r="N32" s="140">
        <v>0</v>
      </c>
      <c r="O32" s="145"/>
      <c r="P32" s="145">
        <v>0</v>
      </c>
      <c r="Q32" s="145"/>
      <c r="R32" s="145">
        <v>0</v>
      </c>
      <c r="S32" s="145"/>
      <c r="T32" s="145">
        <v>0</v>
      </c>
      <c r="U32" s="145"/>
      <c r="V32" s="145">
        <v>0</v>
      </c>
      <c r="W32" s="145"/>
      <c r="X32" s="140">
        <f t="shared" si="1"/>
        <v>0</v>
      </c>
    </row>
    <row r="33" spans="1:28" s="145" customFormat="1" x14ac:dyDescent="0.45">
      <c r="A33" s="166" t="s">
        <v>294</v>
      </c>
      <c r="B33" s="13">
        <v>24</v>
      </c>
      <c r="D33" s="145">
        <v>0</v>
      </c>
      <c r="F33" s="145">
        <v>0</v>
      </c>
      <c r="H33" s="145">
        <v>0</v>
      </c>
      <c r="J33" s="145">
        <v>0</v>
      </c>
      <c r="L33" s="145">
        <v>0</v>
      </c>
      <c r="N33" s="140">
        <v>0</v>
      </c>
      <c r="P33" s="145">
        <v>0</v>
      </c>
      <c r="R33" s="145">
        <v>0</v>
      </c>
      <c r="T33" s="145">
        <v>-116437235.14</v>
      </c>
      <c r="V33" s="145">
        <v>0</v>
      </c>
      <c r="X33" s="140">
        <f>SUM(D33:V33)</f>
        <v>-116437235.14</v>
      </c>
      <c r="Z33" s="140"/>
    </row>
    <row r="34" spans="1:28" s="145" customFormat="1" x14ac:dyDescent="0.45">
      <c r="A34" s="102" t="s">
        <v>257</v>
      </c>
      <c r="B34" s="207"/>
      <c r="D34" s="145">
        <v>0</v>
      </c>
      <c r="F34" s="145">
        <v>0</v>
      </c>
      <c r="H34" s="145">
        <v>0</v>
      </c>
      <c r="J34" s="145">
        <v>0</v>
      </c>
      <c r="N34" s="140"/>
      <c r="R34" s="145">
        <v>1543436.5</v>
      </c>
      <c r="T34" s="145">
        <f>-R34</f>
        <v>-1543436.5</v>
      </c>
      <c r="V34" s="145">
        <v>0</v>
      </c>
      <c r="X34" s="140">
        <f>SUM(D34:V34)</f>
        <v>0</v>
      </c>
      <c r="Z34" s="140"/>
    </row>
    <row r="35" spans="1:28" s="145" customFormat="1" x14ac:dyDescent="0.45">
      <c r="A35" s="167" t="s">
        <v>297</v>
      </c>
      <c r="D35" s="140">
        <v>0</v>
      </c>
      <c r="E35" s="140"/>
      <c r="F35" s="140">
        <v>0</v>
      </c>
      <c r="G35" s="140"/>
      <c r="H35" s="140">
        <v>0</v>
      </c>
      <c r="I35" s="140"/>
      <c r="J35" s="140">
        <v>0</v>
      </c>
      <c r="K35" s="140"/>
      <c r="L35" s="140">
        <v>0</v>
      </c>
      <c r="M35" s="140"/>
      <c r="N35" s="140">
        <v>0</v>
      </c>
      <c r="O35" s="140"/>
      <c r="P35" s="140">
        <v>0</v>
      </c>
      <c r="Q35" s="140"/>
      <c r="R35" s="140">
        <v>0</v>
      </c>
      <c r="S35" s="140"/>
      <c r="T35" s="140">
        <f>+'PL_Q3-66'!J37</f>
        <v>57428568.87999998</v>
      </c>
      <c r="U35" s="140"/>
      <c r="V35" s="140">
        <f>+'PL_Q3-66'!J75</f>
        <v>0</v>
      </c>
      <c r="W35" s="140"/>
      <c r="X35" s="140">
        <f>SUM(D35:V35)</f>
        <v>57428568.87999998</v>
      </c>
      <c r="Y35" s="145">
        <f>T35-'PL_Q3-66'!J37</f>
        <v>0</v>
      </c>
    </row>
    <row r="36" spans="1:28" s="145" customFormat="1" hidden="1" x14ac:dyDescent="0.45">
      <c r="A36" s="90" t="s">
        <v>287</v>
      </c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1:28" s="145" customFormat="1" hidden="1" x14ac:dyDescent="0.45">
      <c r="A37" s="90" t="s">
        <v>288</v>
      </c>
      <c r="D37" s="140">
        <v>0</v>
      </c>
      <c r="E37" s="140"/>
      <c r="F37" s="140">
        <v>0</v>
      </c>
      <c r="G37" s="140"/>
      <c r="H37" s="140">
        <v>0</v>
      </c>
      <c r="I37" s="140"/>
      <c r="J37" s="140">
        <v>0</v>
      </c>
      <c r="K37" s="140"/>
      <c r="L37" s="140">
        <v>0</v>
      </c>
      <c r="M37" s="140"/>
      <c r="N37" s="140">
        <v>0</v>
      </c>
      <c r="O37" s="140"/>
      <c r="P37" s="140">
        <v>0</v>
      </c>
      <c r="Q37" s="140"/>
      <c r="R37" s="140">
        <v>0</v>
      </c>
      <c r="S37" s="140"/>
      <c r="T37" s="140">
        <f>-V37</f>
        <v>0</v>
      </c>
      <c r="U37" s="140"/>
      <c r="V37" s="140">
        <f>-V35</f>
        <v>0</v>
      </c>
      <c r="W37" s="140"/>
      <c r="X37" s="140">
        <f>SUM(D37:V37)</f>
        <v>0</v>
      </c>
    </row>
    <row r="38" spans="1:28" ht="7.5" customHeight="1" x14ac:dyDescent="0.45">
      <c r="D38" s="178"/>
      <c r="E38" s="145"/>
      <c r="F38" s="178"/>
      <c r="G38" s="140"/>
      <c r="H38" s="178"/>
      <c r="I38" s="145"/>
      <c r="J38" s="178"/>
      <c r="K38" s="140"/>
      <c r="L38" s="178"/>
      <c r="M38" s="140"/>
      <c r="N38" s="178"/>
      <c r="O38" s="140"/>
      <c r="P38" s="178"/>
      <c r="Q38" s="145"/>
      <c r="R38" s="178"/>
      <c r="S38" s="145"/>
      <c r="T38" s="178"/>
      <c r="U38" s="140"/>
      <c r="V38" s="178"/>
      <c r="W38" s="140"/>
      <c r="X38" s="178"/>
    </row>
    <row r="39" spans="1:28" ht="21.75" thickBot="1" x14ac:dyDescent="0.5">
      <c r="A39" s="86" t="s">
        <v>386</v>
      </c>
      <c r="D39" s="179">
        <f>SUM(D27:D38)</f>
        <v>1164401069.76</v>
      </c>
      <c r="E39" s="145"/>
      <c r="F39" s="179">
        <f>SUM(F27:F38)</f>
        <v>0</v>
      </c>
      <c r="G39" s="140"/>
      <c r="H39" s="179">
        <f>SUM(H27:H38)</f>
        <v>688264273.16999996</v>
      </c>
      <c r="I39" s="145"/>
      <c r="J39" s="179">
        <f>SUM(J27:J38)</f>
        <v>0</v>
      </c>
      <c r="K39" s="140"/>
      <c r="L39" s="179">
        <f>SUM(L33:L35)</f>
        <v>0</v>
      </c>
      <c r="M39" s="140"/>
      <c r="N39" s="179">
        <f>SUM(N33:N35)</f>
        <v>0</v>
      </c>
      <c r="O39" s="140"/>
      <c r="P39" s="179">
        <f>SUM(P33:P35)</f>
        <v>0</v>
      </c>
      <c r="Q39" s="145"/>
      <c r="R39" s="179">
        <f>SUM(R27:R38)</f>
        <v>103052013.31</v>
      </c>
      <c r="S39" s="145"/>
      <c r="T39" s="179">
        <f>SUM(T27:T38)</f>
        <v>911931506.65999997</v>
      </c>
      <c r="U39" s="140"/>
      <c r="V39" s="179">
        <f>SUM(V27:V38)</f>
        <v>0</v>
      </c>
      <c r="W39" s="140"/>
      <c r="X39" s="179">
        <f>SUM(X27:X38)</f>
        <v>2867648862.9000001</v>
      </c>
      <c r="Y39" s="86">
        <f>X39-'BS_Q3-66'!J118</f>
        <v>0</v>
      </c>
    </row>
    <row r="40" spans="1:28" ht="9.75" customHeight="1" thickTop="1" x14ac:dyDescent="0.45"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180"/>
      <c r="Q40" s="180"/>
      <c r="R40" s="180"/>
      <c r="S40" s="180"/>
      <c r="T40" s="180"/>
      <c r="U40" s="180"/>
      <c r="V40" s="180"/>
      <c r="W40" s="180"/>
      <c r="X40" s="180"/>
    </row>
    <row r="41" spans="1:28" x14ac:dyDescent="0.45">
      <c r="A41" s="89" t="s">
        <v>298</v>
      </c>
    </row>
    <row r="42" spans="1:28" x14ac:dyDescent="0.45">
      <c r="A42" s="141"/>
    </row>
    <row r="43" spans="1:28" s="139" customFormat="1" x14ac:dyDescent="0.45">
      <c r="A43" s="102"/>
      <c r="C43" s="99"/>
      <c r="D43" s="102"/>
      <c r="E43" s="99"/>
      <c r="F43" s="99"/>
      <c r="G43" s="99"/>
      <c r="H43" s="99"/>
      <c r="I43" s="99"/>
      <c r="J43" s="102"/>
      <c r="K43" s="102"/>
      <c r="L43" s="102"/>
      <c r="M43" s="102"/>
      <c r="N43" s="102"/>
      <c r="O43" s="102"/>
      <c r="P43" s="102"/>
      <c r="Q43" s="99"/>
      <c r="R43" s="99"/>
      <c r="S43" s="99"/>
      <c r="T43" s="99"/>
      <c r="U43" s="99"/>
      <c r="V43" s="99"/>
      <c r="W43" s="99"/>
      <c r="X43" s="99"/>
      <c r="Y43" s="99"/>
      <c r="AB43" s="151"/>
    </row>
    <row r="44" spans="1:28" s="139" customFormat="1" x14ac:dyDescent="0.45">
      <c r="A44" s="102" t="s">
        <v>145</v>
      </c>
      <c r="C44" s="99"/>
      <c r="D44" s="102"/>
      <c r="E44" s="99"/>
      <c r="F44" s="99"/>
      <c r="G44" s="99"/>
      <c r="H44" s="99"/>
      <c r="I44" s="99"/>
      <c r="J44" s="102" t="s">
        <v>145</v>
      </c>
      <c r="K44" s="102"/>
      <c r="L44" s="102"/>
      <c r="M44" s="102"/>
      <c r="N44" s="102"/>
      <c r="O44" s="102"/>
      <c r="P44" s="102"/>
      <c r="Q44" s="99"/>
      <c r="R44" s="99"/>
      <c r="S44" s="99"/>
      <c r="T44" s="99"/>
      <c r="U44" s="99"/>
      <c r="V44" s="99"/>
      <c r="W44" s="99"/>
      <c r="X44" s="99"/>
      <c r="Y44" s="99"/>
      <c r="AB44" s="151"/>
    </row>
    <row r="45" spans="1:28" x14ac:dyDescent="0.45">
      <c r="A45" s="142"/>
    </row>
  </sheetData>
  <mergeCells count="8">
    <mergeCell ref="R8:T8"/>
    <mergeCell ref="V1:X1"/>
    <mergeCell ref="D7:X7"/>
    <mergeCell ref="A3:X3"/>
    <mergeCell ref="A4:X4"/>
    <mergeCell ref="A5:X5"/>
    <mergeCell ref="A6:X6"/>
    <mergeCell ref="T2:X2"/>
  </mergeCells>
  <phoneticPr fontId="0" type="noConversion"/>
  <pageMargins left="1.36" right="0" top="0.22" bottom="0.35" header="0.30496063000000001" footer="0.16"/>
  <pageSetup paperSize="9" scale="73" orientation="landscape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28"/>
  <sheetViews>
    <sheetView view="pageBreakPreview" zoomScaleNormal="120" zoomScaleSheetLayoutView="100" workbookViewId="0">
      <selection activeCell="D17" sqref="D17"/>
    </sheetView>
  </sheetViews>
  <sheetFormatPr defaultColWidth="9.140625" defaultRowHeight="16.5" customHeight="1" x14ac:dyDescent="0.4"/>
  <cols>
    <col min="1" max="3" width="2.7109375" style="18" customWidth="1"/>
    <col min="4" max="4" width="43.85546875" style="18" customWidth="1"/>
    <col min="5" max="5" width="6.42578125" style="13" customWidth="1"/>
    <col min="6" max="6" width="1.28515625" style="13" customWidth="1"/>
    <col min="7" max="7" width="13.140625" style="18" bestFit="1" customWidth="1"/>
    <col min="8" max="8" width="1.28515625" style="18" customWidth="1"/>
    <col min="9" max="9" width="13.140625" style="18" bestFit="1" customWidth="1"/>
    <col min="10" max="10" width="1" style="18" customWidth="1"/>
    <col min="11" max="11" width="12.7109375" style="137" customWidth="1"/>
    <col min="12" max="12" width="1.42578125" style="18" customWidth="1"/>
    <col min="13" max="13" width="13.42578125" style="18" customWidth="1"/>
    <col min="14" max="14" width="1.7109375" style="18" customWidth="1"/>
    <col min="15" max="15" width="12.7109375" style="18" hidden="1" customWidth="1"/>
    <col min="16" max="16" width="13.28515625" style="18" hidden="1" customWidth="1"/>
    <col min="17" max="16384" width="9.140625" style="18"/>
  </cols>
  <sheetData>
    <row r="1" spans="1:15" ht="9" customHeight="1" x14ac:dyDescent="0.4">
      <c r="A1" s="3"/>
      <c r="M1" s="213"/>
    </row>
    <row r="2" spans="1:15" ht="17.25" customHeight="1" x14ac:dyDescent="0.4">
      <c r="K2" s="234" t="s">
        <v>311</v>
      </c>
      <c r="L2" s="234"/>
      <c r="M2" s="234"/>
    </row>
    <row r="3" spans="1:15" ht="16.5" customHeight="1" x14ac:dyDescent="0.4">
      <c r="A3" s="218" t="s">
        <v>131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</row>
    <row r="4" spans="1:15" ht="16.5" customHeight="1" x14ac:dyDescent="0.4">
      <c r="A4" s="224" t="s">
        <v>178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5" ht="16.5" customHeight="1" x14ac:dyDescent="0.4">
      <c r="A5" s="224" t="s">
        <v>382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</row>
    <row r="6" spans="1:15" ht="8.25" customHeight="1" x14ac:dyDescent="0.4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5" ht="16.5" customHeight="1" x14ac:dyDescent="0.4">
      <c r="A7" s="8"/>
      <c r="B7" s="8"/>
      <c r="C7" s="8"/>
      <c r="D7" s="8"/>
      <c r="E7" s="81"/>
      <c r="F7" s="81"/>
      <c r="G7" s="237" t="s">
        <v>165</v>
      </c>
      <c r="H7" s="237"/>
      <c r="I7" s="237"/>
      <c r="J7" s="237"/>
      <c r="K7" s="237"/>
      <c r="L7" s="237"/>
      <c r="M7" s="237"/>
    </row>
    <row r="8" spans="1:15" ht="16.5" customHeight="1" x14ac:dyDescent="0.4">
      <c r="E8" s="81"/>
      <c r="F8" s="81"/>
      <c r="G8" s="221" t="s">
        <v>198</v>
      </c>
      <c r="H8" s="221"/>
      <c r="I8" s="221"/>
      <c r="J8" s="82"/>
      <c r="K8" s="221" t="s">
        <v>199</v>
      </c>
      <c r="L8" s="221"/>
      <c r="M8" s="221"/>
    </row>
    <row r="9" spans="1:15" ht="16.5" customHeight="1" x14ac:dyDescent="0.4">
      <c r="E9" s="81"/>
      <c r="F9" s="81"/>
      <c r="G9" s="220" t="s">
        <v>360</v>
      </c>
      <c r="H9" s="220"/>
      <c r="I9" s="220"/>
      <c r="J9" s="220"/>
      <c r="K9" s="220"/>
      <c r="L9" s="220"/>
      <c r="M9" s="220"/>
    </row>
    <row r="10" spans="1:15" ht="16.5" customHeight="1" x14ac:dyDescent="0.4">
      <c r="E10" s="81"/>
      <c r="F10" s="81"/>
      <c r="G10" s="198">
        <v>2023</v>
      </c>
      <c r="H10" s="81"/>
      <c r="I10" s="198">
        <v>2022</v>
      </c>
      <c r="J10" s="82"/>
      <c r="K10" s="162">
        <f>+G10</f>
        <v>2023</v>
      </c>
      <c r="L10" s="81"/>
      <c r="M10" s="162">
        <f>+I10</f>
        <v>2022</v>
      </c>
      <c r="N10" s="13"/>
      <c r="O10" s="28"/>
    </row>
    <row r="11" spans="1:15" ht="16.5" customHeight="1" x14ac:dyDescent="0.4">
      <c r="A11" s="202" t="s">
        <v>179</v>
      </c>
      <c r="B11" s="15"/>
      <c r="C11" s="15"/>
      <c r="D11" s="15"/>
      <c r="E11" s="81"/>
      <c r="F11" s="21"/>
      <c r="G11" s="156"/>
      <c r="H11" s="156"/>
      <c r="I11" s="156"/>
      <c r="J11" s="137"/>
      <c r="L11" s="137"/>
      <c r="M11" s="137"/>
    </row>
    <row r="12" spans="1:15" ht="16.5" customHeight="1" x14ac:dyDescent="0.4">
      <c r="A12" s="15"/>
      <c r="B12" s="18" t="s">
        <v>254</v>
      </c>
      <c r="C12" s="15"/>
      <c r="D12" s="15"/>
      <c r="E12" s="81"/>
      <c r="F12" s="21"/>
      <c r="G12" s="14">
        <f>+'PL_Q3-66'!F34</f>
        <v>-12058929.600000039</v>
      </c>
      <c r="H12" s="14"/>
      <c r="I12" s="14">
        <f>+'PL_Q3-66'!H34</f>
        <v>-217068384.37000003</v>
      </c>
      <c r="J12" s="14"/>
      <c r="K12" s="14">
        <f>+'PL_Q3-66'!J34</f>
        <v>57428568.87999998</v>
      </c>
      <c r="L12" s="14"/>
      <c r="M12" s="14">
        <f>+'PL_Q3-66'!L34</f>
        <v>189559548.24000004</v>
      </c>
    </row>
    <row r="13" spans="1:15" ht="16.5" customHeight="1" x14ac:dyDescent="0.4">
      <c r="A13" s="15"/>
      <c r="B13" s="18" t="s">
        <v>180</v>
      </c>
      <c r="C13" s="15"/>
      <c r="D13" s="15"/>
      <c r="E13" s="81"/>
      <c r="F13" s="21"/>
      <c r="G13" s="14"/>
      <c r="H13" s="14"/>
      <c r="I13" s="14"/>
      <c r="J13" s="14"/>
      <c r="K13" s="14"/>
      <c r="L13" s="14"/>
      <c r="M13" s="14"/>
    </row>
    <row r="14" spans="1:15" ht="16.5" customHeight="1" x14ac:dyDescent="0.4">
      <c r="A14" s="15"/>
      <c r="C14" s="18" t="s">
        <v>373</v>
      </c>
      <c r="D14" s="15"/>
      <c r="E14" s="21"/>
      <c r="F14" s="21"/>
      <c r="G14" s="14"/>
      <c r="H14" s="14"/>
      <c r="I14" s="14"/>
      <c r="J14" s="14"/>
      <c r="K14" s="14"/>
      <c r="L14" s="14"/>
      <c r="M14" s="14"/>
    </row>
    <row r="15" spans="1:15" ht="16.5" customHeight="1" x14ac:dyDescent="0.4">
      <c r="A15" s="15"/>
      <c r="C15" s="18" t="s">
        <v>181</v>
      </c>
      <c r="E15" s="21" t="s">
        <v>369</v>
      </c>
      <c r="F15" s="21"/>
      <c r="G15" s="14">
        <v>19049455.960000001</v>
      </c>
      <c r="H15" s="14"/>
      <c r="I15" s="14">
        <v>14023920.42</v>
      </c>
      <c r="J15" s="14"/>
      <c r="K15" s="14">
        <v>5398929.4500000002</v>
      </c>
      <c r="L15" s="14"/>
      <c r="M15" s="14">
        <v>4578772.83</v>
      </c>
    </row>
    <row r="16" spans="1:15" ht="16.5" customHeight="1" x14ac:dyDescent="0.4">
      <c r="A16" s="15"/>
      <c r="B16" s="15"/>
      <c r="C16" s="9" t="s">
        <v>335</v>
      </c>
      <c r="E16" s="154" t="s">
        <v>352</v>
      </c>
      <c r="F16" s="21"/>
      <c r="G16" s="14">
        <v>62304235.210000001</v>
      </c>
      <c r="H16" s="22"/>
      <c r="I16" s="14">
        <v>93045522.879999995</v>
      </c>
      <c r="J16" s="22"/>
      <c r="K16" s="14">
        <v>29288895.640000001</v>
      </c>
      <c r="L16" s="14"/>
      <c r="M16" s="14">
        <v>44402009.229999997</v>
      </c>
    </row>
    <row r="17" spans="1:13" ht="16.5" customHeight="1" x14ac:dyDescent="0.4">
      <c r="A17" s="15"/>
      <c r="B17" s="15"/>
      <c r="C17" s="9" t="s">
        <v>340</v>
      </c>
      <c r="E17" s="154" t="s">
        <v>359</v>
      </c>
      <c r="F17" s="21"/>
      <c r="G17" s="14">
        <v>-33706034.810000002</v>
      </c>
      <c r="H17" s="22"/>
      <c r="I17" s="14">
        <v>425148786</v>
      </c>
      <c r="J17" s="22"/>
      <c r="K17" s="14">
        <v>17424.52</v>
      </c>
      <c r="L17" s="14"/>
      <c r="M17" s="14">
        <v>79976.23</v>
      </c>
    </row>
    <row r="18" spans="1:13" ht="16.5" customHeight="1" x14ac:dyDescent="0.4">
      <c r="A18" s="15"/>
      <c r="B18" s="15"/>
      <c r="C18" s="9" t="s">
        <v>343</v>
      </c>
      <c r="E18" s="154"/>
      <c r="F18" s="21"/>
      <c r="G18" s="14">
        <v>-10808713.33</v>
      </c>
      <c r="H18" s="22"/>
      <c r="I18" s="14">
        <v>-111706240.09</v>
      </c>
      <c r="J18" s="14"/>
      <c r="K18" s="14">
        <v>-4382.95</v>
      </c>
      <c r="L18" s="14"/>
      <c r="M18" s="14">
        <v>-189710.55</v>
      </c>
    </row>
    <row r="19" spans="1:13" ht="16.5" customHeight="1" x14ac:dyDescent="0.4">
      <c r="A19" s="15"/>
      <c r="B19" s="15"/>
      <c r="C19" s="9" t="s">
        <v>337</v>
      </c>
      <c r="E19" s="154" t="s">
        <v>353</v>
      </c>
      <c r="F19" s="21"/>
      <c r="G19" s="14">
        <v>0</v>
      </c>
      <c r="H19" s="22"/>
      <c r="I19" s="14">
        <v>-760000</v>
      </c>
      <c r="J19" s="22"/>
      <c r="K19" s="14">
        <v>0</v>
      </c>
      <c r="L19" s="14"/>
      <c r="M19" s="14">
        <v>-760000</v>
      </c>
    </row>
    <row r="20" spans="1:13" ht="16.5" customHeight="1" x14ac:dyDescent="0.4">
      <c r="A20" s="15"/>
      <c r="B20" s="15"/>
      <c r="C20" s="9" t="s">
        <v>357</v>
      </c>
      <c r="E20" s="154" t="s">
        <v>356</v>
      </c>
      <c r="F20" s="21"/>
      <c r="G20" s="14">
        <v>0</v>
      </c>
      <c r="H20" s="22"/>
      <c r="I20" s="14">
        <v>0</v>
      </c>
      <c r="J20" s="22"/>
      <c r="K20" s="14">
        <v>0</v>
      </c>
      <c r="L20" s="14"/>
      <c r="M20" s="14">
        <v>9222000</v>
      </c>
    </row>
    <row r="21" spans="1:13" ht="16.5" customHeight="1" x14ac:dyDescent="0.4">
      <c r="A21" s="204"/>
      <c r="B21" s="15"/>
      <c r="C21" s="9" t="s">
        <v>376</v>
      </c>
      <c r="E21" s="6">
        <v>21</v>
      </c>
      <c r="F21" s="21"/>
      <c r="G21" s="170">
        <v>0</v>
      </c>
      <c r="H21" s="170"/>
      <c r="I21" s="170">
        <v>104835850.84</v>
      </c>
      <c r="J21" s="170"/>
      <c r="K21" s="170">
        <v>0</v>
      </c>
      <c r="L21" s="170"/>
      <c r="M21" s="170">
        <v>104835850.84</v>
      </c>
    </row>
    <row r="22" spans="1:13" ht="16.5" customHeight="1" x14ac:dyDescent="0.4">
      <c r="A22" s="15"/>
      <c r="B22" s="15"/>
      <c r="C22" s="15" t="s">
        <v>295</v>
      </c>
      <c r="E22" s="154"/>
      <c r="F22" s="21"/>
      <c r="G22" s="14">
        <v>-5000000</v>
      </c>
      <c r="H22" s="22"/>
      <c r="I22" s="14">
        <v>-4593856.05</v>
      </c>
      <c r="J22" s="22"/>
      <c r="K22" s="14">
        <v>-5000000</v>
      </c>
      <c r="L22" s="14"/>
      <c r="M22" s="14">
        <v>-3518937.9</v>
      </c>
    </row>
    <row r="23" spans="1:13" ht="16.5" customHeight="1" x14ac:dyDescent="0.4">
      <c r="A23" s="15"/>
      <c r="B23" s="15"/>
      <c r="C23" s="15" t="s">
        <v>255</v>
      </c>
      <c r="E23" s="13">
        <v>20</v>
      </c>
      <c r="F23" s="21"/>
      <c r="G23" s="14">
        <v>2058937</v>
      </c>
      <c r="H23" s="22"/>
      <c r="I23" s="14">
        <v>1747271</v>
      </c>
      <c r="J23" s="22"/>
      <c r="K23" s="14">
        <v>1897051</v>
      </c>
      <c r="L23" s="14"/>
      <c r="M23" s="14">
        <v>1558396</v>
      </c>
    </row>
    <row r="24" spans="1:13" ht="16.5" customHeight="1" x14ac:dyDescent="0.4">
      <c r="A24" s="15"/>
      <c r="B24" s="15"/>
      <c r="C24" s="15" t="s">
        <v>262</v>
      </c>
      <c r="E24" s="13">
        <v>15.1</v>
      </c>
      <c r="F24" s="21"/>
      <c r="G24" s="18">
        <v>13349455.050000001</v>
      </c>
      <c r="I24" s="18">
        <v>81415153.459999993</v>
      </c>
      <c r="K24" s="14">
        <v>13349455.050000001</v>
      </c>
      <c r="M24" s="14">
        <v>81415153.459999993</v>
      </c>
    </row>
    <row r="25" spans="1:13" ht="16.5" customHeight="1" x14ac:dyDescent="0.4">
      <c r="A25" s="15"/>
      <c r="B25" s="15"/>
      <c r="C25" s="15" t="s">
        <v>256</v>
      </c>
      <c r="F25" s="21"/>
      <c r="G25" s="22">
        <v>1657257.94</v>
      </c>
      <c r="H25" s="22"/>
      <c r="I25" s="22">
        <v>-30881216.489999998</v>
      </c>
      <c r="J25" s="22"/>
      <c r="K25" s="18">
        <v>4334426.83</v>
      </c>
      <c r="L25" s="22"/>
      <c r="M25" s="18">
        <v>-28055174.77</v>
      </c>
    </row>
    <row r="26" spans="1:13" ht="16.5" customHeight="1" x14ac:dyDescent="0.4">
      <c r="A26" s="15"/>
      <c r="B26" s="15"/>
      <c r="C26" s="15" t="s">
        <v>206</v>
      </c>
      <c r="E26" s="21"/>
      <c r="F26" s="21"/>
      <c r="G26" s="172">
        <v>8196536.1200000001</v>
      </c>
      <c r="H26" s="14"/>
      <c r="I26" s="172">
        <v>8041513.9500000002</v>
      </c>
      <c r="J26" s="14"/>
      <c r="K26" s="172">
        <v>8778385.4499999993</v>
      </c>
      <c r="L26" s="14"/>
      <c r="M26" s="172">
        <v>8647349.5600000005</v>
      </c>
    </row>
    <row r="27" spans="1:13" ht="16.5" customHeight="1" x14ac:dyDescent="0.4">
      <c r="A27" s="15"/>
      <c r="B27" s="15" t="s">
        <v>235</v>
      </c>
      <c r="C27" s="15"/>
      <c r="D27" s="15"/>
      <c r="E27" s="21"/>
      <c r="F27" s="21"/>
      <c r="G27" s="14">
        <f>+SUM(G12:G26)</f>
        <v>45042199.539999954</v>
      </c>
      <c r="H27" s="22"/>
      <c r="I27" s="14">
        <f>+SUM(I12:I26)</f>
        <v>363248321.54999989</v>
      </c>
      <c r="J27" s="22"/>
      <c r="K27" s="14">
        <f>+SUM(K12:K26)</f>
        <v>115488753.86999997</v>
      </c>
      <c r="L27" s="22"/>
      <c r="M27" s="14">
        <f>+SUM(M12:M26)</f>
        <v>411775233.17000008</v>
      </c>
    </row>
    <row r="28" spans="1:13" ht="16.5" customHeight="1" x14ac:dyDescent="0.4">
      <c r="A28" s="15"/>
      <c r="B28" s="25" t="s">
        <v>182</v>
      </c>
      <c r="C28" s="15"/>
      <c r="D28" s="15"/>
      <c r="E28" s="21"/>
      <c r="F28" s="21"/>
      <c r="G28" s="14"/>
      <c r="H28" s="22"/>
      <c r="I28" s="14"/>
      <c r="J28" s="22"/>
      <c r="K28" s="14"/>
      <c r="L28" s="22"/>
      <c r="M28" s="14"/>
    </row>
    <row r="29" spans="1:13" ht="16.5" customHeight="1" x14ac:dyDescent="0.4">
      <c r="A29" s="15"/>
      <c r="B29" s="15"/>
      <c r="C29" s="133" t="s">
        <v>321</v>
      </c>
      <c r="D29" s="15"/>
      <c r="E29" s="31">
        <v>8.3000000000000007</v>
      </c>
      <c r="F29" s="21"/>
      <c r="G29" s="14">
        <v>304028142.20999998</v>
      </c>
      <c r="H29" s="14"/>
      <c r="I29" s="14">
        <v>-258626088.12</v>
      </c>
      <c r="J29" s="14"/>
      <c r="K29" s="14">
        <v>-27826965.02</v>
      </c>
      <c r="L29" s="14"/>
      <c r="M29" s="14">
        <v>180654678</v>
      </c>
    </row>
    <row r="30" spans="1:13" ht="16.5" customHeight="1" x14ac:dyDescent="0.4">
      <c r="A30" s="15"/>
      <c r="B30" s="15"/>
      <c r="C30" s="15" t="s">
        <v>301</v>
      </c>
      <c r="D30" s="15"/>
      <c r="E30" s="21">
        <v>4</v>
      </c>
      <c r="F30" s="21"/>
      <c r="G30" s="14">
        <v>48221897.57</v>
      </c>
      <c r="H30" s="14"/>
      <c r="I30" s="14">
        <v>30457132.140000001</v>
      </c>
      <c r="J30" s="14"/>
      <c r="K30" s="14">
        <v>22675000</v>
      </c>
      <c r="L30" s="14"/>
      <c r="M30" s="14">
        <v>18355314.739999998</v>
      </c>
    </row>
    <row r="31" spans="1:13" ht="16.5" customHeight="1" x14ac:dyDescent="0.4">
      <c r="A31" s="15"/>
      <c r="B31" s="15"/>
      <c r="C31" s="15" t="s">
        <v>302</v>
      </c>
      <c r="D31" s="15"/>
      <c r="E31" s="31">
        <v>2.2000000000000002</v>
      </c>
      <c r="F31" s="21"/>
      <c r="G31" s="14">
        <v>-73981.11</v>
      </c>
      <c r="H31" s="14"/>
      <c r="I31" s="14">
        <v>145503687.34999999</v>
      </c>
      <c r="J31" s="14"/>
      <c r="K31" s="14">
        <v>-73981.11</v>
      </c>
      <c r="L31" s="14"/>
      <c r="M31" s="14">
        <v>0</v>
      </c>
    </row>
    <row r="32" spans="1:13" ht="16.5" customHeight="1" x14ac:dyDescent="0.4">
      <c r="A32" s="15"/>
      <c r="B32" s="15"/>
      <c r="C32" s="15" t="s">
        <v>329</v>
      </c>
      <c r="D32" s="15"/>
      <c r="E32" s="21">
        <v>5</v>
      </c>
      <c r="F32" s="21"/>
      <c r="G32" s="14">
        <v>-37901127.68</v>
      </c>
      <c r="H32" s="14"/>
      <c r="I32" s="14">
        <v>-72755870.260000005</v>
      </c>
      <c r="J32" s="14"/>
      <c r="K32" s="14">
        <v>-18813982.260000002</v>
      </c>
      <c r="L32" s="14"/>
      <c r="M32" s="14">
        <v>5491957</v>
      </c>
    </row>
    <row r="33" spans="1:13" ht="16.5" customHeight="1" x14ac:dyDescent="0.4">
      <c r="A33" s="15"/>
      <c r="B33" s="15"/>
      <c r="C33" s="15" t="s">
        <v>330</v>
      </c>
      <c r="D33" s="15"/>
      <c r="E33" s="31"/>
      <c r="F33" s="21"/>
      <c r="G33" s="14">
        <v>0</v>
      </c>
      <c r="H33" s="14"/>
      <c r="I33" s="14">
        <v>0</v>
      </c>
      <c r="J33" s="14"/>
      <c r="K33" s="14">
        <v>0</v>
      </c>
      <c r="L33" s="14"/>
      <c r="M33" s="14">
        <v>43711980.780000001</v>
      </c>
    </row>
    <row r="34" spans="1:13" ht="16.5" hidden="1" customHeight="1" x14ac:dyDescent="0.4">
      <c r="A34" s="15"/>
      <c r="B34" s="15"/>
      <c r="C34" s="15" t="s">
        <v>338</v>
      </c>
      <c r="D34" s="15"/>
      <c r="E34" s="21">
        <v>6</v>
      </c>
      <c r="F34" s="21"/>
      <c r="G34" s="14"/>
      <c r="H34" s="14"/>
      <c r="I34" s="14">
        <v>0</v>
      </c>
      <c r="J34" s="14"/>
      <c r="K34" s="14"/>
      <c r="L34" s="14"/>
      <c r="M34" s="14"/>
    </row>
    <row r="35" spans="1:13" ht="16.5" customHeight="1" x14ac:dyDescent="0.4">
      <c r="A35" s="15"/>
      <c r="B35" s="15"/>
      <c r="C35" s="15" t="s">
        <v>185</v>
      </c>
      <c r="D35" s="15"/>
      <c r="E35" s="21"/>
      <c r="F35" s="21"/>
      <c r="G35" s="14">
        <v>-3887694.05</v>
      </c>
      <c r="H35" s="14"/>
      <c r="I35" s="14">
        <v>-141186.07</v>
      </c>
      <c r="J35" s="14"/>
      <c r="K35" s="14">
        <v>-4193438.77</v>
      </c>
      <c r="L35" s="14"/>
      <c r="M35" s="14">
        <v>1086859.6000000001</v>
      </c>
    </row>
    <row r="36" spans="1:13" ht="16.5" customHeight="1" x14ac:dyDescent="0.4">
      <c r="A36" s="15"/>
      <c r="B36" s="15"/>
      <c r="C36" s="15" t="s">
        <v>140</v>
      </c>
      <c r="D36" s="15"/>
      <c r="E36" s="21"/>
      <c r="F36" s="21"/>
      <c r="G36" s="14">
        <v>372631.76</v>
      </c>
      <c r="H36" s="14"/>
      <c r="I36" s="14">
        <v>3334316.02</v>
      </c>
      <c r="J36" s="14"/>
      <c r="K36" s="14">
        <v>-1200</v>
      </c>
      <c r="L36" s="14"/>
      <c r="M36" s="14">
        <v>2980716.02</v>
      </c>
    </row>
    <row r="37" spans="1:13" ht="16.5" customHeight="1" x14ac:dyDescent="0.4">
      <c r="A37" s="15"/>
      <c r="B37" s="15" t="s">
        <v>186</v>
      </c>
      <c r="C37" s="15"/>
      <c r="D37" s="15"/>
      <c r="E37" s="21"/>
      <c r="F37" s="21"/>
      <c r="G37" s="14"/>
      <c r="H37" s="14"/>
      <c r="I37" s="14"/>
      <c r="J37" s="14"/>
      <c r="K37" s="14"/>
      <c r="L37" s="14"/>
      <c r="M37" s="14"/>
    </row>
    <row r="38" spans="1:13" ht="16.5" customHeight="1" x14ac:dyDescent="0.4">
      <c r="A38" s="15"/>
      <c r="B38" s="15"/>
      <c r="C38" s="15" t="s">
        <v>303</v>
      </c>
      <c r="D38" s="15"/>
      <c r="E38" s="21">
        <v>17</v>
      </c>
      <c r="F38" s="21"/>
      <c r="G38" s="14">
        <v>30614.720000000001</v>
      </c>
      <c r="H38" s="14"/>
      <c r="I38" s="14">
        <v>68889.679999999993</v>
      </c>
      <c r="J38" s="14"/>
      <c r="K38" s="14">
        <v>0</v>
      </c>
      <c r="L38" s="14"/>
      <c r="M38" s="14">
        <v>0</v>
      </c>
    </row>
    <row r="39" spans="1:13" ht="16.5" customHeight="1" x14ac:dyDescent="0.4">
      <c r="A39" s="15"/>
      <c r="B39" s="15"/>
      <c r="C39" s="15" t="s">
        <v>304</v>
      </c>
      <c r="D39" s="15"/>
      <c r="E39" s="31"/>
      <c r="F39" s="21"/>
      <c r="G39" s="14">
        <v>0</v>
      </c>
      <c r="H39" s="14"/>
      <c r="I39" s="14">
        <v>0</v>
      </c>
      <c r="J39" s="14"/>
      <c r="K39" s="14">
        <v>2000000</v>
      </c>
      <c r="L39" s="14"/>
      <c r="M39" s="14"/>
    </row>
    <row r="40" spans="1:13" ht="16.5" customHeight="1" x14ac:dyDescent="0.4">
      <c r="A40" s="15"/>
      <c r="B40" s="15"/>
      <c r="C40" s="15" t="s">
        <v>331</v>
      </c>
      <c r="D40" s="15"/>
      <c r="E40" s="21">
        <v>18</v>
      </c>
      <c r="F40" s="21"/>
      <c r="G40" s="14">
        <v>5922326.25</v>
      </c>
      <c r="H40" s="14"/>
      <c r="I40" s="14">
        <v>-17126401.210000001</v>
      </c>
      <c r="J40" s="14"/>
      <c r="K40" s="14">
        <v>16320015.52</v>
      </c>
      <c r="L40" s="14"/>
      <c r="M40" s="14">
        <v>-14257783.85</v>
      </c>
    </row>
    <row r="41" spans="1:13" ht="16.5" customHeight="1" x14ac:dyDescent="0.4">
      <c r="A41" s="15"/>
      <c r="B41" s="15"/>
      <c r="C41" s="15" t="s">
        <v>372</v>
      </c>
      <c r="D41" s="15"/>
      <c r="E41" s="21"/>
      <c r="F41" s="21"/>
      <c r="G41" s="14">
        <v>0</v>
      </c>
      <c r="H41" s="14"/>
      <c r="I41" s="14">
        <v>0</v>
      </c>
      <c r="J41" s="14"/>
      <c r="K41" s="14">
        <v>5026996.41</v>
      </c>
      <c r="L41" s="14"/>
      <c r="M41" s="14">
        <v>15212.58</v>
      </c>
    </row>
    <row r="42" spans="1:13" ht="16.5" customHeight="1" x14ac:dyDescent="0.4">
      <c r="A42" s="15"/>
      <c r="B42" s="15"/>
      <c r="C42" s="15" t="s">
        <v>148</v>
      </c>
      <c r="D42" s="15"/>
      <c r="E42" s="21"/>
      <c r="F42" s="21"/>
      <c r="G42" s="14">
        <v>-5253015.74</v>
      </c>
      <c r="H42" s="14"/>
      <c r="I42" s="14">
        <v>3967746.49</v>
      </c>
      <c r="J42" s="14"/>
      <c r="K42" s="14">
        <v>-5147735.7300000004</v>
      </c>
      <c r="L42" s="14"/>
      <c r="M42" s="14">
        <v>3911296.73</v>
      </c>
    </row>
    <row r="43" spans="1:13" ht="16.5" customHeight="1" x14ac:dyDescent="0.4">
      <c r="A43" s="15"/>
      <c r="B43" s="15"/>
      <c r="C43" s="15" t="s">
        <v>279</v>
      </c>
      <c r="D43" s="15"/>
      <c r="E43" s="21"/>
      <c r="F43" s="21"/>
      <c r="G43" s="14">
        <v>1460518.04</v>
      </c>
      <c r="H43" s="14"/>
      <c r="I43" s="14">
        <v>-6244142</v>
      </c>
      <c r="J43" s="14"/>
      <c r="K43" s="172">
        <v>2304026.04</v>
      </c>
      <c r="L43" s="14"/>
      <c r="M43" s="172">
        <v>-6433017</v>
      </c>
    </row>
    <row r="44" spans="1:13" ht="16.5" customHeight="1" x14ac:dyDescent="0.4">
      <c r="A44" s="15"/>
      <c r="B44" s="15"/>
      <c r="C44" s="15"/>
      <c r="D44" s="15" t="s">
        <v>243</v>
      </c>
      <c r="E44" s="21"/>
      <c r="F44" s="21"/>
      <c r="G44" s="174">
        <f>SUM(G27:G43)</f>
        <v>357962511.50999993</v>
      </c>
      <c r="H44" s="22"/>
      <c r="I44" s="174">
        <f>SUM(I27:I43)</f>
        <v>191686405.56999987</v>
      </c>
      <c r="J44" s="22"/>
      <c r="K44" s="174">
        <f>SUM(K27:K43)</f>
        <v>107757488.94999997</v>
      </c>
      <c r="L44" s="22"/>
      <c r="M44" s="174">
        <f>SUM(M27:M43)</f>
        <v>647292447.7700001</v>
      </c>
    </row>
    <row r="45" spans="1:13" ht="16.5" customHeight="1" x14ac:dyDescent="0.4">
      <c r="A45" s="15"/>
      <c r="B45" s="15"/>
      <c r="C45" s="15"/>
      <c r="D45" s="15" t="s">
        <v>229</v>
      </c>
      <c r="E45" s="21"/>
      <c r="F45" s="21"/>
      <c r="G45" s="22">
        <v>-8196536.1200000001</v>
      </c>
      <c r="H45" s="22"/>
      <c r="I45" s="22">
        <v>-8041513.9500000002</v>
      </c>
      <c r="J45" s="22"/>
      <c r="K45" s="22">
        <v>-8778385.4499999993</v>
      </c>
      <c r="L45" s="22"/>
      <c r="M45" s="22">
        <v>-8647349.5600000005</v>
      </c>
    </row>
    <row r="46" spans="1:13" ht="16.5" customHeight="1" x14ac:dyDescent="0.4">
      <c r="A46" s="15"/>
      <c r="B46" s="15"/>
      <c r="C46" s="15"/>
      <c r="D46" s="15" t="s">
        <v>197</v>
      </c>
      <c r="E46" s="21"/>
      <c r="F46" s="21"/>
      <c r="G46" s="22">
        <v>-7770140.4699999997</v>
      </c>
      <c r="H46" s="22"/>
      <c r="I46" s="22">
        <v>-74901610.530000001</v>
      </c>
      <c r="J46" s="22"/>
      <c r="K46" s="22">
        <v>-7673950.2199999997</v>
      </c>
      <c r="L46" s="22"/>
      <c r="M46" s="22">
        <v>-74650701.879999995</v>
      </c>
    </row>
    <row r="47" spans="1:13" ht="16.5" customHeight="1" x14ac:dyDescent="0.4">
      <c r="A47" s="15"/>
      <c r="B47" s="15"/>
      <c r="C47" s="15"/>
      <c r="D47" s="15" t="s">
        <v>195</v>
      </c>
      <c r="E47" s="21"/>
      <c r="F47" s="21"/>
      <c r="G47" s="175">
        <f>SUM(G44:G46)</f>
        <v>341995834.9199999</v>
      </c>
      <c r="H47" s="22"/>
      <c r="I47" s="175">
        <f>SUM(I44:I46)</f>
        <v>108743281.08999988</v>
      </c>
      <c r="J47" s="22"/>
      <c r="K47" s="175">
        <f>SUM(K44:K46)</f>
        <v>91305153.279999971</v>
      </c>
      <c r="L47" s="22"/>
      <c r="M47" s="175">
        <f>SUM(M44:M46)</f>
        <v>563994396.33000016</v>
      </c>
    </row>
    <row r="48" spans="1:13" ht="16.5" customHeight="1" x14ac:dyDescent="0.4">
      <c r="A48" s="15"/>
      <c r="B48" s="15"/>
      <c r="C48" s="15"/>
      <c r="D48" s="15"/>
      <c r="E48" s="21"/>
      <c r="F48" s="21"/>
      <c r="G48" s="136"/>
      <c r="H48" s="136"/>
      <c r="I48" s="136"/>
      <c r="J48" s="136"/>
      <c r="K48" s="136"/>
      <c r="L48" s="136"/>
      <c r="M48" s="136"/>
    </row>
    <row r="49" spans="1:13" ht="16.5" customHeight="1" x14ac:dyDescent="0.4">
      <c r="A49" s="15"/>
      <c r="B49" s="15"/>
      <c r="C49" s="15"/>
      <c r="D49" s="15"/>
      <c r="E49" s="21"/>
      <c r="F49" s="21"/>
      <c r="G49" s="136"/>
      <c r="H49" s="136"/>
      <c r="I49" s="136"/>
      <c r="J49" s="136"/>
      <c r="K49" s="136"/>
      <c r="L49" s="136"/>
      <c r="M49" s="136"/>
    </row>
    <row r="50" spans="1:13" ht="16.5" customHeight="1" x14ac:dyDescent="0.4">
      <c r="A50" s="15" t="s">
        <v>298</v>
      </c>
      <c r="B50" s="15"/>
      <c r="C50" s="15"/>
      <c r="D50" s="15"/>
      <c r="E50" s="21"/>
      <c r="F50" s="21"/>
      <c r="G50" s="136"/>
      <c r="H50" s="136"/>
      <c r="I50" s="136"/>
      <c r="J50" s="136"/>
      <c r="K50" s="136"/>
      <c r="L50" s="136"/>
      <c r="M50" s="136"/>
    </row>
    <row r="51" spans="1:13" ht="16.5" customHeight="1" x14ac:dyDescent="0.4">
      <c r="A51" s="15"/>
      <c r="B51" s="15"/>
      <c r="C51" s="15"/>
      <c r="D51" s="15"/>
      <c r="E51" s="21"/>
      <c r="F51" s="21"/>
      <c r="G51" s="136"/>
      <c r="H51" s="136"/>
      <c r="I51" s="136"/>
      <c r="J51" s="136"/>
      <c r="K51" s="136"/>
      <c r="L51" s="136"/>
      <c r="M51" s="136"/>
    </row>
    <row r="52" spans="1:13" ht="16.5" customHeight="1" x14ac:dyDescent="0.4">
      <c r="A52" s="15"/>
      <c r="B52" s="15"/>
      <c r="C52" s="15"/>
      <c r="D52" s="15"/>
      <c r="E52" s="21"/>
      <c r="F52" s="21"/>
      <c r="G52" s="136"/>
      <c r="H52" s="136"/>
      <c r="I52" s="136"/>
      <c r="J52" s="136"/>
      <c r="K52" s="136"/>
      <c r="L52" s="136"/>
      <c r="M52" s="136"/>
    </row>
    <row r="53" spans="1:13" ht="16.5" customHeight="1" x14ac:dyDescent="0.45">
      <c r="A53" s="141"/>
      <c r="G53" s="137"/>
      <c r="H53" s="137"/>
      <c r="I53" s="137"/>
      <c r="J53" s="137"/>
      <c r="L53" s="137"/>
      <c r="M53" s="137"/>
    </row>
    <row r="54" spans="1:13" ht="16.5" customHeight="1" x14ac:dyDescent="0.45">
      <c r="A54" s="141"/>
      <c r="G54" s="137"/>
      <c r="H54" s="137"/>
      <c r="I54" s="137"/>
      <c r="J54" s="137"/>
      <c r="L54" s="137"/>
      <c r="M54" s="137"/>
    </row>
    <row r="55" spans="1:13" ht="16.5" customHeight="1" x14ac:dyDescent="0.4">
      <c r="A55" s="13"/>
      <c r="B55" s="25" t="s">
        <v>145</v>
      </c>
      <c r="C55" s="13"/>
      <c r="D55" s="25"/>
      <c r="F55" s="25" t="s">
        <v>145</v>
      </c>
      <c r="G55" s="155"/>
      <c r="H55" s="155"/>
      <c r="I55" s="155"/>
      <c r="J55" s="155"/>
      <c r="K55" s="155"/>
      <c r="L55" s="155"/>
      <c r="M55" s="155"/>
    </row>
    <row r="56" spans="1:13" ht="16.5" customHeight="1" x14ac:dyDescent="0.4">
      <c r="A56" s="13"/>
      <c r="B56" s="25"/>
      <c r="C56" s="13"/>
      <c r="D56" s="25"/>
      <c r="F56" s="25"/>
      <c r="G56" s="155"/>
      <c r="H56" s="155"/>
      <c r="I56" s="155"/>
      <c r="J56" s="155"/>
      <c r="K56" s="155"/>
      <c r="L56" s="155"/>
      <c r="M56" s="155"/>
    </row>
    <row r="57" spans="1:13" ht="16.5" customHeight="1" x14ac:dyDescent="0.45">
      <c r="A57" s="235"/>
      <c r="B57" s="235"/>
      <c r="C57" s="235"/>
      <c r="D57" s="235"/>
      <c r="E57" s="235"/>
      <c r="F57" s="235"/>
      <c r="G57" s="235"/>
      <c r="H57" s="235"/>
      <c r="I57" s="235"/>
      <c r="J57" s="235"/>
      <c r="K57" s="235"/>
      <c r="L57" s="235"/>
      <c r="M57" s="235"/>
    </row>
    <row r="58" spans="1:13" ht="16.5" customHeight="1" x14ac:dyDescent="0.4">
      <c r="A58" s="202" t="s">
        <v>183</v>
      </c>
      <c r="B58" s="15"/>
      <c r="C58" s="15"/>
      <c r="D58" s="15"/>
      <c r="E58" s="21"/>
      <c r="F58" s="21"/>
      <c r="G58" s="14"/>
      <c r="H58" s="22"/>
      <c r="I58" s="14"/>
      <c r="J58" s="22"/>
      <c r="K58" s="14"/>
      <c r="L58" s="22"/>
      <c r="M58" s="14"/>
    </row>
    <row r="59" spans="1:13" ht="16.5" customHeight="1" x14ac:dyDescent="0.4">
      <c r="A59" s="202"/>
      <c r="C59" s="18" t="s">
        <v>394</v>
      </c>
      <c r="D59" s="15"/>
      <c r="E59" s="21">
        <v>9</v>
      </c>
      <c r="F59" s="21"/>
      <c r="G59" s="14">
        <v>0</v>
      </c>
      <c r="H59" s="14"/>
      <c r="I59" s="14">
        <v>0</v>
      </c>
      <c r="J59" s="14"/>
      <c r="K59" s="14">
        <v>-40000000</v>
      </c>
      <c r="L59" s="14"/>
      <c r="M59" s="14">
        <v>0</v>
      </c>
    </row>
    <row r="60" spans="1:13" ht="16.5" customHeight="1" x14ac:dyDescent="0.4">
      <c r="A60" s="202"/>
      <c r="C60" s="15" t="s">
        <v>323</v>
      </c>
      <c r="D60" s="15"/>
      <c r="E60" s="21">
        <v>10</v>
      </c>
      <c r="F60" s="21"/>
      <c r="G60" s="14">
        <v>-80000034.129999995</v>
      </c>
      <c r="H60" s="14"/>
      <c r="I60" s="14">
        <v>-20000076.649999999</v>
      </c>
      <c r="J60" s="14"/>
      <c r="K60" s="14">
        <v>-80000000</v>
      </c>
      <c r="L60" s="14"/>
      <c r="M60" s="14">
        <v>-20000000</v>
      </c>
    </row>
    <row r="61" spans="1:13" s="15" customFormat="1" ht="16.5" customHeight="1" x14ac:dyDescent="0.4">
      <c r="C61" s="18" t="s">
        <v>213</v>
      </c>
      <c r="E61" s="153" t="s">
        <v>351</v>
      </c>
      <c r="F61" s="21"/>
      <c r="G61" s="14">
        <v>-1942761.02</v>
      </c>
      <c r="H61" s="14"/>
      <c r="I61" s="14">
        <v>-43455554.789999999</v>
      </c>
      <c r="J61" s="14"/>
      <c r="K61" s="14">
        <v>-1942761.02</v>
      </c>
      <c r="L61" s="14"/>
      <c r="M61" s="14">
        <v>-6020243.4000000004</v>
      </c>
    </row>
    <row r="62" spans="1:13" s="15" customFormat="1" ht="16.5" customHeight="1" x14ac:dyDescent="0.4">
      <c r="C62" s="18" t="s">
        <v>371</v>
      </c>
      <c r="E62" s="153" t="s">
        <v>370</v>
      </c>
      <c r="F62" s="21"/>
      <c r="G62" s="14">
        <v>0</v>
      </c>
      <c r="H62" s="14"/>
      <c r="I62" s="14">
        <v>-2379248.92</v>
      </c>
      <c r="J62" s="14"/>
      <c r="K62" s="14">
        <v>0</v>
      </c>
      <c r="L62" s="14"/>
      <c r="M62" s="14">
        <v>-2379248.92</v>
      </c>
    </row>
    <row r="63" spans="1:13" s="15" customFormat="1" ht="16.5" customHeight="1" x14ac:dyDescent="0.4">
      <c r="C63" s="9" t="s">
        <v>378</v>
      </c>
      <c r="E63" s="153" t="s">
        <v>354</v>
      </c>
      <c r="F63" s="21"/>
      <c r="G63" s="14">
        <v>-130000000</v>
      </c>
      <c r="H63" s="14"/>
      <c r="I63" s="14">
        <v>-14286972</v>
      </c>
      <c r="J63" s="14"/>
      <c r="K63" s="14">
        <v>-130000000</v>
      </c>
      <c r="L63" s="14"/>
      <c r="M63" s="14">
        <v>-79240000</v>
      </c>
    </row>
    <row r="64" spans="1:13" s="15" customFormat="1" ht="16.5" customHeight="1" x14ac:dyDescent="0.4">
      <c r="C64" s="9" t="s">
        <v>306</v>
      </c>
      <c r="E64" s="153" t="s">
        <v>392</v>
      </c>
      <c r="F64" s="21"/>
      <c r="G64" s="14">
        <v>0</v>
      </c>
      <c r="H64" s="14"/>
      <c r="I64" s="14">
        <v>0</v>
      </c>
      <c r="J64" s="14"/>
      <c r="K64" s="14">
        <v>298066018.20999998</v>
      </c>
      <c r="L64" s="14"/>
      <c r="M64" s="14">
        <v>-473682373.5</v>
      </c>
    </row>
    <row r="65" spans="1:15" s="15" customFormat="1" ht="16.5" customHeight="1" x14ac:dyDescent="0.4">
      <c r="C65" s="15" t="s">
        <v>295</v>
      </c>
      <c r="E65" s="153"/>
      <c r="F65" s="21"/>
      <c r="G65" s="14">
        <v>5000000</v>
      </c>
      <c r="H65" s="14"/>
      <c r="I65" s="14">
        <v>4593856.05</v>
      </c>
      <c r="J65" s="14"/>
      <c r="K65" s="14">
        <v>5000000</v>
      </c>
      <c r="L65" s="14"/>
      <c r="M65" s="14">
        <v>3518937.9</v>
      </c>
    </row>
    <row r="66" spans="1:15" ht="16.5" customHeight="1" x14ac:dyDescent="0.4">
      <c r="A66" s="15"/>
      <c r="B66" s="15"/>
      <c r="C66" s="15"/>
      <c r="D66" s="18" t="s">
        <v>268</v>
      </c>
      <c r="E66" s="21"/>
      <c r="F66" s="21"/>
      <c r="G66" s="175">
        <f>SUM(G59:G65)</f>
        <v>-206942795.14999998</v>
      </c>
      <c r="H66" s="22"/>
      <c r="I66" s="175">
        <f>SUM(I59:I65)</f>
        <v>-75527996.310000002</v>
      </c>
      <c r="J66" s="22"/>
      <c r="K66" s="175">
        <f>SUM(K59:K65)</f>
        <v>51123257.189999998</v>
      </c>
      <c r="L66" s="22"/>
      <c r="M66" s="175">
        <f>SUM(M59:M65)</f>
        <v>-577802927.91999996</v>
      </c>
    </row>
    <row r="67" spans="1:15" ht="16.5" customHeight="1" x14ac:dyDescent="0.4">
      <c r="A67" s="204" t="s">
        <v>190</v>
      </c>
      <c r="B67" s="15"/>
      <c r="C67" s="15"/>
      <c r="D67" s="15"/>
      <c r="E67" s="81"/>
      <c r="F67" s="21"/>
      <c r="G67" s="170"/>
      <c r="H67" s="170"/>
      <c r="I67" s="170"/>
      <c r="J67" s="170"/>
      <c r="K67" s="170"/>
      <c r="L67" s="170"/>
      <c r="M67" s="170"/>
    </row>
    <row r="68" spans="1:15" ht="16.5" customHeight="1" x14ac:dyDescent="0.4">
      <c r="A68" s="204"/>
      <c r="B68" s="15"/>
      <c r="C68" s="15" t="s">
        <v>289</v>
      </c>
      <c r="D68" s="15"/>
      <c r="E68" s="6">
        <v>16</v>
      </c>
      <c r="F68" s="21"/>
      <c r="G68" s="170">
        <v>-50000000</v>
      </c>
      <c r="H68" s="170"/>
      <c r="I68" s="170">
        <v>75000000</v>
      </c>
      <c r="J68" s="170"/>
      <c r="K68" s="170">
        <v>-50000000</v>
      </c>
      <c r="L68" s="170"/>
      <c r="M68" s="170">
        <v>75000000</v>
      </c>
    </row>
    <row r="69" spans="1:15" ht="16.5" customHeight="1" x14ac:dyDescent="0.4">
      <c r="A69" s="204"/>
      <c r="B69" s="15"/>
      <c r="C69" s="9" t="s">
        <v>270</v>
      </c>
      <c r="D69" s="15"/>
      <c r="E69" s="6">
        <v>21</v>
      </c>
      <c r="F69" s="21"/>
      <c r="G69" s="170">
        <v>0</v>
      </c>
      <c r="H69" s="170"/>
      <c r="I69" s="170">
        <v>46185626.899999999</v>
      </c>
      <c r="J69" s="170"/>
      <c r="K69" s="170">
        <v>0</v>
      </c>
      <c r="L69" s="170"/>
      <c r="M69" s="170">
        <v>46185626.899999999</v>
      </c>
    </row>
    <row r="70" spans="1:15" ht="16.5" customHeight="1" x14ac:dyDescent="0.4">
      <c r="A70" s="204"/>
      <c r="B70" s="15"/>
      <c r="C70" s="9" t="s">
        <v>312</v>
      </c>
      <c r="D70" s="15"/>
      <c r="E70" s="6"/>
      <c r="F70" s="21"/>
      <c r="G70" s="170">
        <v>0</v>
      </c>
      <c r="H70" s="170"/>
      <c r="I70" s="170">
        <v>-29008465.079999998</v>
      </c>
      <c r="J70" s="170"/>
      <c r="K70" s="170">
        <v>0</v>
      </c>
      <c r="L70" s="170"/>
      <c r="M70" s="170">
        <v>-29008465.079999998</v>
      </c>
    </row>
    <row r="71" spans="1:15" ht="16.5" customHeight="1" x14ac:dyDescent="0.4">
      <c r="A71" s="15"/>
      <c r="B71" s="15"/>
      <c r="C71" s="9" t="s">
        <v>259</v>
      </c>
      <c r="E71" s="13">
        <v>24</v>
      </c>
      <c r="F71" s="21"/>
      <c r="G71" s="22">
        <v>-116437235.14</v>
      </c>
      <c r="H71" s="22"/>
      <c r="I71" s="22">
        <v>-193345028.75999999</v>
      </c>
      <c r="J71" s="22"/>
      <c r="K71" s="22">
        <v>-116437235.14</v>
      </c>
      <c r="L71" s="22"/>
      <c r="M71" s="22">
        <v>-193345028.75999999</v>
      </c>
    </row>
    <row r="72" spans="1:15" ht="16.5" customHeight="1" x14ac:dyDescent="0.4">
      <c r="A72" s="15"/>
      <c r="B72" s="15"/>
      <c r="C72" s="9" t="s">
        <v>358</v>
      </c>
      <c r="F72" s="21"/>
      <c r="G72" s="172">
        <v>0</v>
      </c>
      <c r="H72" s="22"/>
      <c r="I72" s="172">
        <v>-108284198.40000001</v>
      </c>
      <c r="J72" s="22"/>
      <c r="K72" s="172">
        <v>0</v>
      </c>
      <c r="L72" s="22"/>
      <c r="M72" s="172">
        <v>0</v>
      </c>
    </row>
    <row r="73" spans="1:15" ht="16.5" customHeight="1" x14ac:dyDescent="0.4">
      <c r="A73" s="15"/>
      <c r="B73" s="15"/>
      <c r="C73" s="15"/>
      <c r="D73" s="18" t="s">
        <v>194</v>
      </c>
      <c r="E73" s="21"/>
      <c r="F73" s="21"/>
      <c r="G73" s="172">
        <f>SUM(G68:G72)</f>
        <v>-166437235.13999999</v>
      </c>
      <c r="H73" s="22"/>
      <c r="I73" s="172">
        <f>SUM(I68:I72)</f>
        <v>-209452065.33999997</v>
      </c>
      <c r="J73" s="22"/>
      <c r="K73" s="172">
        <f>SUM(K68:K72)</f>
        <v>-166437235.13999999</v>
      </c>
      <c r="L73" s="22"/>
      <c r="M73" s="172">
        <f>SUM(M68:M72)</f>
        <v>-101167866.93999998</v>
      </c>
    </row>
    <row r="74" spans="1:15" ht="16.5" customHeight="1" x14ac:dyDescent="0.4">
      <c r="A74" s="15" t="s">
        <v>172</v>
      </c>
      <c r="B74" s="15"/>
      <c r="C74" s="15"/>
      <c r="D74" s="15"/>
      <c r="E74" s="21"/>
      <c r="F74" s="21"/>
      <c r="G74" s="172">
        <v>-6294089.4800000004</v>
      </c>
      <c r="H74" s="22"/>
      <c r="I74" s="172">
        <v>16032320.710000001</v>
      </c>
      <c r="J74" s="22"/>
      <c r="K74" s="172">
        <v>0</v>
      </c>
      <c r="L74" s="22"/>
      <c r="M74" s="172">
        <v>0</v>
      </c>
    </row>
    <row r="75" spans="1:15" ht="16.5" customHeight="1" x14ac:dyDescent="0.4">
      <c r="A75" s="202" t="s">
        <v>184</v>
      </c>
      <c r="B75" s="15"/>
      <c r="C75" s="15"/>
      <c r="D75" s="15"/>
      <c r="E75" s="21"/>
      <c r="F75" s="21"/>
      <c r="G75" s="176">
        <f>+G73+G66+G47+G74</f>
        <v>-37678284.850000069</v>
      </c>
      <c r="H75" s="14"/>
      <c r="I75" s="176">
        <f>+I73+I66+I47+I74</f>
        <v>-160204459.85000008</v>
      </c>
      <c r="J75" s="14"/>
      <c r="K75" s="176">
        <f>+K73+K66+K47+K74</f>
        <v>-24008824.670000017</v>
      </c>
      <c r="L75" s="14"/>
      <c r="M75" s="176">
        <f>+M73+M66+M47+M74</f>
        <v>-114976398.52999973</v>
      </c>
    </row>
    <row r="76" spans="1:15" ht="16.5" customHeight="1" x14ac:dyDescent="0.4">
      <c r="A76" s="202" t="s">
        <v>324</v>
      </c>
      <c r="B76" s="15"/>
      <c r="C76" s="15"/>
      <c r="D76" s="15"/>
      <c r="E76" s="21"/>
      <c r="F76" s="21"/>
      <c r="G76" s="176">
        <v>193802583.52000001</v>
      </c>
      <c r="H76" s="14"/>
      <c r="I76" s="176">
        <v>341495631.25999999</v>
      </c>
      <c r="J76" s="14"/>
      <c r="K76" s="14">
        <v>58130055.630000003</v>
      </c>
      <c r="L76" s="14"/>
      <c r="M76" s="14">
        <v>144066303.36000001</v>
      </c>
      <c r="O76" s="11"/>
    </row>
    <row r="77" spans="1:15" ht="16.5" customHeight="1" thickBot="1" x14ac:dyDescent="0.45">
      <c r="A77" s="202" t="s">
        <v>325</v>
      </c>
      <c r="B77" s="15"/>
      <c r="C77" s="15"/>
      <c r="D77" s="15"/>
      <c r="E77" s="21"/>
      <c r="F77" s="21"/>
      <c r="G77" s="177">
        <f>SUM(G75:G76)</f>
        <v>156124298.66999996</v>
      </c>
      <c r="H77" s="14"/>
      <c r="I77" s="177">
        <f>SUM(I75:I76)</f>
        <v>181291171.40999991</v>
      </c>
      <c r="J77" s="14"/>
      <c r="K77" s="177">
        <f>SUM(K75:K76)</f>
        <v>34121230.959999986</v>
      </c>
      <c r="L77" s="14"/>
      <c r="M77" s="177">
        <f>SUM(M75:M76)</f>
        <v>29089904.830000281</v>
      </c>
    </row>
    <row r="78" spans="1:15" ht="16.5" customHeight="1" thickTop="1" x14ac:dyDescent="0.4">
      <c r="E78" s="8"/>
      <c r="F78" s="8"/>
      <c r="G78" s="170"/>
      <c r="H78" s="170"/>
      <c r="I78" s="170"/>
      <c r="J78" s="170"/>
      <c r="K78" s="170"/>
      <c r="L78" s="170"/>
      <c r="M78" s="170"/>
    </row>
    <row r="79" spans="1:15" ht="16.5" customHeight="1" x14ac:dyDescent="0.4">
      <c r="E79" s="8"/>
      <c r="F79" s="8"/>
      <c r="G79" s="170"/>
      <c r="H79" s="170"/>
      <c r="I79" s="170"/>
      <c r="J79" s="170"/>
      <c r="K79" s="170"/>
      <c r="L79" s="170"/>
      <c r="M79" s="170"/>
    </row>
    <row r="80" spans="1:15" ht="16.5" customHeight="1" x14ac:dyDescent="0.4">
      <c r="A80" s="18" t="s">
        <v>377</v>
      </c>
      <c r="E80" s="153"/>
      <c r="F80" s="8"/>
      <c r="G80" s="135"/>
      <c r="H80" s="135"/>
      <c r="I80" s="135"/>
      <c r="J80" s="135"/>
      <c r="K80" s="135"/>
      <c r="L80" s="135"/>
      <c r="M80" s="135"/>
    </row>
    <row r="81" spans="1:13" ht="16.5" customHeight="1" x14ac:dyDescent="0.4">
      <c r="B81" s="15" t="s">
        <v>346</v>
      </c>
      <c r="E81" s="153"/>
      <c r="F81" s="8"/>
      <c r="G81" s="135">
        <v>0</v>
      </c>
      <c r="H81" s="135"/>
      <c r="I81" s="135">
        <v>64953028</v>
      </c>
      <c r="J81" s="135"/>
      <c r="K81" s="135">
        <v>0</v>
      </c>
      <c r="L81" s="135"/>
      <c r="M81" s="135">
        <v>0</v>
      </c>
    </row>
    <row r="82" spans="1:13" ht="16.5" customHeight="1" x14ac:dyDescent="0.4">
      <c r="B82" s="9" t="s">
        <v>347</v>
      </c>
      <c r="E82" s="153"/>
      <c r="F82" s="8"/>
      <c r="G82" s="135">
        <v>0</v>
      </c>
      <c r="H82" s="135"/>
      <c r="I82" s="135">
        <v>-64953028</v>
      </c>
      <c r="J82" s="135"/>
      <c r="K82" s="135">
        <v>0</v>
      </c>
      <c r="L82" s="135"/>
      <c r="M82" s="135">
        <v>0</v>
      </c>
    </row>
    <row r="83" spans="1:13" ht="16.5" customHeight="1" x14ac:dyDescent="0.4">
      <c r="B83" s="18" t="s">
        <v>393</v>
      </c>
      <c r="E83" s="153"/>
      <c r="F83" s="8"/>
      <c r="G83" s="135">
        <v>190420399.13999999</v>
      </c>
      <c r="H83" s="135"/>
      <c r="I83" s="135">
        <v>-105567664.45</v>
      </c>
      <c r="J83" s="135"/>
      <c r="K83" s="135">
        <v>4382.95</v>
      </c>
      <c r="L83" s="135"/>
      <c r="M83" s="135">
        <v>298105.77</v>
      </c>
    </row>
    <row r="84" spans="1:13" ht="16.5" customHeight="1" x14ac:dyDescent="0.4">
      <c r="B84" s="18" t="s">
        <v>259</v>
      </c>
      <c r="E84" s="153"/>
      <c r="F84" s="8"/>
      <c r="G84" s="135">
        <v>0</v>
      </c>
      <c r="H84" s="135"/>
      <c r="I84" s="135">
        <v>104835850.84</v>
      </c>
      <c r="J84" s="135"/>
      <c r="K84" s="135">
        <v>0</v>
      </c>
      <c r="L84" s="135"/>
      <c r="M84" s="135">
        <v>104835850.84</v>
      </c>
    </row>
    <row r="85" spans="1:13" ht="16.5" customHeight="1" x14ac:dyDescent="0.4">
      <c r="B85" s="9"/>
      <c r="E85" s="153"/>
      <c r="F85" s="8"/>
      <c r="G85" s="135"/>
      <c r="H85" s="135"/>
      <c r="I85" s="135"/>
      <c r="J85" s="135"/>
      <c r="K85" s="135"/>
      <c r="L85" s="135"/>
      <c r="M85" s="135"/>
    </row>
    <row r="86" spans="1:13" ht="16.5" customHeight="1" x14ac:dyDescent="0.4">
      <c r="B86" s="15"/>
      <c r="E86" s="153"/>
      <c r="F86" s="8"/>
      <c r="G86" s="135"/>
      <c r="H86" s="135"/>
      <c r="I86" s="135"/>
      <c r="J86" s="135"/>
      <c r="K86" s="135"/>
      <c r="L86" s="135"/>
      <c r="M86" s="135"/>
    </row>
    <row r="87" spans="1:13" ht="16.5" customHeight="1" x14ac:dyDescent="0.4">
      <c r="B87" s="15"/>
      <c r="E87" s="153"/>
      <c r="F87" s="8"/>
      <c r="G87" s="135"/>
      <c r="H87" s="135"/>
      <c r="I87" s="135"/>
      <c r="J87" s="135"/>
      <c r="K87" s="135"/>
      <c r="L87" s="135"/>
      <c r="M87" s="135"/>
    </row>
    <row r="88" spans="1:13" ht="16.5" customHeight="1" x14ac:dyDescent="0.4">
      <c r="E88" s="153"/>
      <c r="F88" s="8"/>
      <c r="G88" s="135"/>
      <c r="H88" s="135"/>
      <c r="I88" s="135"/>
      <c r="J88" s="135"/>
      <c r="K88" s="135"/>
      <c r="L88" s="135"/>
      <c r="M88" s="135"/>
    </row>
    <row r="89" spans="1:13" ht="16.5" customHeight="1" x14ac:dyDescent="0.4">
      <c r="A89" s="15" t="s">
        <v>298</v>
      </c>
      <c r="E89" s="153"/>
      <c r="F89" s="8"/>
      <c r="G89" s="135"/>
      <c r="H89" s="135"/>
      <c r="I89" s="135"/>
      <c r="J89" s="135"/>
      <c r="K89" s="135"/>
      <c r="L89" s="135"/>
      <c r="M89" s="135"/>
    </row>
    <row r="90" spans="1:13" ht="16.5" customHeight="1" x14ac:dyDescent="0.4">
      <c r="F90" s="8"/>
      <c r="G90" s="135"/>
      <c r="H90" s="135"/>
      <c r="I90" s="135"/>
      <c r="J90" s="135"/>
      <c r="K90" s="135"/>
      <c r="L90" s="135"/>
      <c r="M90" s="135"/>
    </row>
    <row r="91" spans="1:13" ht="16.5" customHeight="1" x14ac:dyDescent="0.4">
      <c r="F91" s="8"/>
      <c r="G91" s="135"/>
      <c r="H91" s="135"/>
      <c r="I91" s="135"/>
      <c r="J91" s="135"/>
      <c r="K91" s="135"/>
      <c r="L91" s="135"/>
      <c r="M91" s="135"/>
    </row>
    <row r="92" spans="1:13" ht="16.5" customHeight="1" x14ac:dyDescent="0.4">
      <c r="F92" s="8"/>
      <c r="G92" s="135"/>
      <c r="H92" s="135"/>
      <c r="I92" s="135"/>
      <c r="J92" s="135"/>
      <c r="K92" s="135"/>
      <c r="L92" s="135"/>
      <c r="M92" s="135"/>
    </row>
    <row r="93" spans="1:13" ht="16.5" customHeight="1" x14ac:dyDescent="0.4">
      <c r="G93" s="137"/>
      <c r="H93" s="137"/>
      <c r="I93" s="137"/>
      <c r="J93" s="137"/>
      <c r="L93" s="137"/>
      <c r="M93" s="137"/>
    </row>
    <row r="94" spans="1:13" ht="16.5" customHeight="1" x14ac:dyDescent="0.45">
      <c r="A94" s="141"/>
      <c r="G94" s="137"/>
      <c r="H94" s="137"/>
      <c r="I94" s="137"/>
      <c r="J94" s="137"/>
      <c r="L94" s="137"/>
      <c r="M94" s="137"/>
    </row>
    <row r="95" spans="1:13" ht="16.5" customHeight="1" x14ac:dyDescent="0.45">
      <c r="A95" s="141"/>
      <c r="G95" s="137"/>
      <c r="H95" s="137"/>
      <c r="I95" s="137"/>
      <c r="J95" s="137"/>
      <c r="L95" s="137"/>
      <c r="M95" s="137"/>
    </row>
    <row r="96" spans="1:13" ht="16.5" customHeight="1" x14ac:dyDescent="0.4">
      <c r="A96" s="138"/>
      <c r="G96" s="137"/>
      <c r="H96" s="137"/>
      <c r="I96" s="137"/>
      <c r="J96" s="137"/>
      <c r="L96" s="137"/>
      <c r="M96" s="137"/>
    </row>
    <row r="97" spans="1:16" ht="16.5" customHeight="1" x14ac:dyDescent="0.4">
      <c r="A97" s="138"/>
      <c r="B97" s="25" t="s">
        <v>145</v>
      </c>
      <c r="C97" s="13"/>
      <c r="D97" s="25"/>
      <c r="F97" s="25" t="s">
        <v>145</v>
      </c>
      <c r="G97" s="155"/>
      <c r="H97" s="155"/>
      <c r="I97" s="155"/>
      <c r="J97" s="155"/>
      <c r="K97" s="155"/>
      <c r="L97" s="155"/>
      <c r="M97" s="155"/>
    </row>
    <row r="98" spans="1:16" ht="16.5" customHeight="1" x14ac:dyDescent="0.4">
      <c r="A98" s="9"/>
      <c r="G98" s="137"/>
      <c r="H98" s="137"/>
      <c r="I98" s="137"/>
      <c r="J98" s="137"/>
      <c r="L98" s="137"/>
      <c r="M98" s="137"/>
    </row>
    <row r="99" spans="1:16" s="3" customFormat="1" ht="16.5" customHeight="1" x14ac:dyDescent="0.45">
      <c r="A99" s="236"/>
      <c r="B99" s="236"/>
      <c r="C99" s="236"/>
      <c r="D99" s="236"/>
      <c r="E99" s="236"/>
      <c r="F99" s="236"/>
      <c r="G99" s="236"/>
      <c r="H99" s="236"/>
      <c r="I99" s="236"/>
      <c r="J99" s="236"/>
      <c r="K99" s="236"/>
      <c r="L99" s="236"/>
      <c r="M99" s="236"/>
      <c r="P99" s="7"/>
    </row>
    <row r="100" spans="1:16" ht="16.5" hidden="1" customHeight="1" x14ac:dyDescent="0.4">
      <c r="E100" s="8"/>
      <c r="F100" s="8"/>
      <c r="G100" s="137"/>
      <c r="H100" s="137"/>
      <c r="I100" s="137"/>
      <c r="J100" s="137"/>
      <c r="L100" s="137"/>
      <c r="M100" s="137"/>
    </row>
    <row r="101" spans="1:16" ht="16.5" customHeight="1" x14ac:dyDescent="0.4">
      <c r="D101" s="10" t="s">
        <v>210</v>
      </c>
      <c r="E101" s="8"/>
      <c r="F101" s="8"/>
      <c r="G101" s="135">
        <v>156124298.66999999</v>
      </c>
      <c r="H101" s="136"/>
      <c r="I101" s="135">
        <v>181291171.41</v>
      </c>
      <c r="J101" s="136"/>
      <c r="K101" s="135">
        <v>34121230.960000001</v>
      </c>
      <c r="L101" s="135"/>
      <c r="M101" s="135">
        <v>29089904.829999998</v>
      </c>
    </row>
    <row r="102" spans="1:16" ht="16.5" customHeight="1" x14ac:dyDescent="0.4">
      <c r="D102" s="10" t="s">
        <v>211</v>
      </c>
      <c r="E102" s="8"/>
      <c r="F102" s="8"/>
      <c r="G102" s="137">
        <f>+G101-G77</f>
        <v>0</v>
      </c>
      <c r="H102" s="137"/>
      <c r="I102" s="137">
        <f>+I101-I77</f>
        <v>0</v>
      </c>
      <c r="J102" s="137"/>
      <c r="K102" s="137">
        <f>+K101-K77</f>
        <v>0</v>
      </c>
      <c r="L102" s="137"/>
      <c r="M102" s="137">
        <f>+M101-M77</f>
        <v>-2.8312206268310547E-7</v>
      </c>
    </row>
    <row r="103" spans="1:16" ht="16.5" customHeight="1" x14ac:dyDescent="0.4">
      <c r="E103" s="8"/>
      <c r="F103" s="8"/>
      <c r="G103" s="137"/>
      <c r="H103" s="137"/>
      <c r="I103" s="137"/>
      <c r="J103" s="137"/>
      <c r="L103" s="137"/>
      <c r="M103" s="137"/>
    </row>
    <row r="104" spans="1:16" ht="16.5" customHeight="1" x14ac:dyDescent="0.4">
      <c r="E104" s="8"/>
      <c r="F104" s="8"/>
      <c r="G104" s="137"/>
      <c r="H104" s="137"/>
      <c r="I104" s="137"/>
      <c r="J104" s="137"/>
      <c r="L104" s="137"/>
      <c r="M104" s="137"/>
    </row>
    <row r="105" spans="1:16" ht="16.5" customHeight="1" x14ac:dyDescent="0.4">
      <c r="E105" s="8"/>
      <c r="F105" s="8"/>
      <c r="G105" s="137"/>
      <c r="H105" s="137"/>
      <c r="I105" s="137"/>
      <c r="J105" s="137"/>
      <c r="L105" s="137"/>
      <c r="M105" s="137"/>
    </row>
    <row r="106" spans="1:16" ht="16.5" customHeight="1" x14ac:dyDescent="0.4">
      <c r="E106" s="8"/>
      <c r="F106" s="8"/>
      <c r="G106" s="137"/>
      <c r="H106" s="137"/>
      <c r="I106" s="137"/>
      <c r="J106" s="137"/>
      <c r="L106" s="137"/>
      <c r="M106" s="137"/>
    </row>
    <row r="107" spans="1:16" ht="16.5" customHeight="1" x14ac:dyDescent="0.4">
      <c r="E107" s="8"/>
      <c r="F107" s="8"/>
      <c r="G107" s="137"/>
      <c r="H107" s="137"/>
      <c r="I107" s="137"/>
      <c r="J107" s="137"/>
      <c r="L107" s="137"/>
      <c r="M107" s="137"/>
    </row>
    <row r="108" spans="1:16" ht="16.5" customHeight="1" x14ac:dyDescent="0.4">
      <c r="E108" s="8"/>
      <c r="F108" s="8"/>
      <c r="G108" s="137"/>
      <c r="H108" s="137"/>
      <c r="I108" s="137"/>
      <c r="J108" s="137"/>
      <c r="L108" s="137"/>
      <c r="M108" s="137"/>
    </row>
    <row r="109" spans="1:16" ht="16.5" customHeight="1" x14ac:dyDescent="0.4">
      <c r="E109" s="8"/>
      <c r="F109" s="8"/>
    </row>
    <row r="110" spans="1:16" ht="16.5" customHeight="1" x14ac:dyDescent="0.4">
      <c r="E110" s="8"/>
      <c r="F110" s="8"/>
    </row>
    <row r="111" spans="1:16" ht="16.5" customHeight="1" x14ac:dyDescent="0.4">
      <c r="E111" s="8"/>
      <c r="F111" s="8"/>
    </row>
    <row r="112" spans="1:16" ht="16.5" customHeight="1" x14ac:dyDescent="0.4">
      <c r="E112" s="8"/>
      <c r="F112" s="8"/>
    </row>
    <row r="113" spans="5:6" ht="16.5" customHeight="1" x14ac:dyDescent="0.4">
      <c r="E113" s="8"/>
      <c r="F113" s="8"/>
    </row>
    <row r="114" spans="5:6" ht="16.5" customHeight="1" x14ac:dyDescent="0.4">
      <c r="E114" s="8"/>
      <c r="F114" s="8"/>
    </row>
    <row r="115" spans="5:6" ht="16.5" customHeight="1" x14ac:dyDescent="0.4">
      <c r="E115" s="8"/>
      <c r="F115" s="8"/>
    </row>
    <row r="116" spans="5:6" ht="16.5" customHeight="1" x14ac:dyDescent="0.4">
      <c r="E116" s="8"/>
      <c r="F116" s="8"/>
    </row>
    <row r="117" spans="5:6" ht="16.5" customHeight="1" x14ac:dyDescent="0.4">
      <c r="E117" s="8"/>
      <c r="F117" s="8"/>
    </row>
    <row r="118" spans="5:6" ht="16.5" customHeight="1" x14ac:dyDescent="0.4">
      <c r="E118" s="8"/>
      <c r="F118" s="8"/>
    </row>
    <row r="119" spans="5:6" ht="16.5" customHeight="1" x14ac:dyDescent="0.4">
      <c r="E119" s="8"/>
      <c r="F119" s="8"/>
    </row>
    <row r="120" spans="5:6" ht="16.5" customHeight="1" x14ac:dyDescent="0.4">
      <c r="E120" s="8"/>
      <c r="F120" s="8"/>
    </row>
    <row r="121" spans="5:6" ht="16.5" customHeight="1" x14ac:dyDescent="0.4">
      <c r="E121" s="8"/>
      <c r="F121" s="8"/>
    </row>
    <row r="122" spans="5:6" ht="16.5" customHeight="1" x14ac:dyDescent="0.4">
      <c r="E122" s="8"/>
      <c r="F122" s="8"/>
    </row>
    <row r="123" spans="5:6" ht="16.5" customHeight="1" x14ac:dyDescent="0.4">
      <c r="E123" s="8"/>
      <c r="F123" s="8"/>
    </row>
    <row r="124" spans="5:6" ht="16.5" customHeight="1" x14ac:dyDescent="0.4">
      <c r="E124" s="8"/>
      <c r="F124" s="8"/>
    </row>
    <row r="125" spans="5:6" ht="16.5" customHeight="1" x14ac:dyDescent="0.4">
      <c r="E125" s="8"/>
      <c r="F125" s="8"/>
    </row>
    <row r="126" spans="5:6" ht="16.5" customHeight="1" x14ac:dyDescent="0.4">
      <c r="E126" s="8"/>
      <c r="F126" s="8"/>
    </row>
    <row r="127" spans="5:6" ht="16.5" customHeight="1" x14ac:dyDescent="0.4">
      <c r="E127" s="8"/>
      <c r="F127" s="8"/>
    </row>
    <row r="128" spans="5:6" ht="16.5" customHeight="1" x14ac:dyDescent="0.4">
      <c r="E128" s="8"/>
      <c r="F128" s="8"/>
    </row>
  </sheetData>
  <mergeCells count="10">
    <mergeCell ref="K2:M2"/>
    <mergeCell ref="A57:M57"/>
    <mergeCell ref="A99:M99"/>
    <mergeCell ref="A3:M3"/>
    <mergeCell ref="G7:M7"/>
    <mergeCell ref="G8:I8"/>
    <mergeCell ref="K8:M8"/>
    <mergeCell ref="A4:M4"/>
    <mergeCell ref="A5:M5"/>
    <mergeCell ref="G9:M9"/>
  </mergeCells>
  <phoneticPr fontId="0" type="noConversion"/>
  <pageMargins left="0.38" right="0" top="0.45" bottom="0.22" header="0.3" footer="0.13"/>
  <pageSetup paperSize="9" scale="92" firstPageNumber="10" orientation="portrait" useFirstPageNumber="1" r:id="rId1"/>
  <headerFooter alignWithMargins="0">
    <oddFooter>&amp;C&amp;"Angsana New,Regular"&amp;12&amp;P</oddFooter>
  </headerFooter>
  <rowBreaks count="1" manualBreakCount="1">
    <brk id="56" max="12" man="1"/>
  </rowBreaks>
  <ignoredErrors>
    <ignoredError sqref="E66:F66" numberStoredAsText="1"/>
    <ignoredError sqref="H66 L66 J66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ColWidth="9.140625" defaultRowHeight="21" x14ac:dyDescent="0.45"/>
  <cols>
    <col min="1" max="1" width="41.140625" style="90" customWidth="1"/>
    <col min="2" max="2" width="13.42578125" style="106" bestFit="1" customWidth="1"/>
    <col min="3" max="3" width="13.85546875" style="86" bestFit="1" customWidth="1"/>
    <col min="4" max="4" width="14.85546875" style="91" bestFit="1" customWidth="1"/>
    <col min="5" max="6" width="12.7109375" style="86" customWidth="1"/>
    <col min="7" max="7" width="14.85546875" style="86" bestFit="1" customWidth="1"/>
    <col min="8" max="8" width="15.28515625" style="89" customWidth="1"/>
    <col min="9" max="10" width="12.7109375" style="86" customWidth="1"/>
    <col min="11" max="11" width="2.28515625" style="90" customWidth="1"/>
    <col min="12" max="13" width="12.7109375" style="90" customWidth="1"/>
    <col min="14" max="16384" width="9.140625" style="90"/>
  </cols>
  <sheetData>
    <row r="1" spans="1:10" x14ac:dyDescent="0.45">
      <c r="A1" s="84" t="s">
        <v>52</v>
      </c>
      <c r="B1" s="85"/>
      <c r="D1" s="87"/>
      <c r="E1" s="88"/>
      <c r="F1" s="88"/>
    </row>
    <row r="2" spans="1:10" ht="21.75" customHeight="1" x14ac:dyDescent="0.45">
      <c r="A2" s="84" t="s">
        <v>89</v>
      </c>
      <c r="B2" s="85"/>
    </row>
    <row r="3" spans="1:10" ht="21.75" customHeight="1" x14ac:dyDescent="0.45">
      <c r="A3" s="92" t="s">
        <v>69</v>
      </c>
      <c r="B3" s="93"/>
      <c r="C3" s="94"/>
      <c r="D3" s="95"/>
      <c r="E3" s="94"/>
      <c r="F3" s="94"/>
      <c r="G3" s="94"/>
      <c r="H3" s="96"/>
      <c r="I3" s="94"/>
      <c r="J3" s="94"/>
    </row>
    <row r="4" spans="1:10" ht="21.75" customHeight="1" x14ac:dyDescent="0.45">
      <c r="A4" s="97"/>
      <c r="B4" s="85"/>
      <c r="H4" s="238" t="s">
        <v>71</v>
      </c>
      <c r="I4" s="238"/>
    </row>
    <row r="5" spans="1:10" s="99" customFormat="1" ht="24" customHeight="1" x14ac:dyDescent="0.45">
      <c r="B5" s="100" t="s">
        <v>63</v>
      </c>
      <c r="C5" s="98" t="s">
        <v>64</v>
      </c>
      <c r="D5" s="93" t="s">
        <v>65</v>
      </c>
      <c r="E5" s="98" t="s">
        <v>67</v>
      </c>
      <c r="F5" s="98" t="s">
        <v>66</v>
      </c>
      <c r="G5" s="98" t="s">
        <v>27</v>
      </c>
      <c r="H5" s="101" t="s">
        <v>72</v>
      </c>
      <c r="I5" s="88" t="s">
        <v>73</v>
      </c>
      <c r="J5" s="94" t="s">
        <v>33</v>
      </c>
    </row>
    <row r="6" spans="1:10" s="99" customFormat="1" ht="24.75" customHeight="1" x14ac:dyDescent="0.45">
      <c r="A6" s="102" t="s">
        <v>90</v>
      </c>
      <c r="B6" s="103"/>
      <c r="C6" s="88"/>
      <c r="D6" s="87"/>
      <c r="E6" s="88"/>
      <c r="F6" s="88"/>
      <c r="G6" s="88"/>
      <c r="H6" s="104"/>
      <c r="I6" s="88"/>
      <c r="J6" s="86"/>
    </row>
    <row r="7" spans="1:10" s="99" customFormat="1" ht="18" customHeight="1" x14ac:dyDescent="0.45">
      <c r="B7" s="103"/>
      <c r="C7" s="88"/>
      <c r="D7" s="87"/>
      <c r="E7" s="105">
        <v>25000</v>
      </c>
      <c r="F7" s="105">
        <v>250000</v>
      </c>
      <c r="G7" s="88"/>
      <c r="H7" s="104"/>
      <c r="I7" s="88"/>
      <c r="J7" s="86"/>
    </row>
    <row r="8" spans="1:10" x14ac:dyDescent="0.45">
      <c r="A8" s="90" t="s">
        <v>98</v>
      </c>
      <c r="B8" s="106">
        <v>4250000</v>
      </c>
      <c r="C8" s="86">
        <v>10000000</v>
      </c>
      <c r="D8" s="91">
        <v>42940000</v>
      </c>
      <c r="E8" s="86">
        <f>+E7*36.48</f>
        <v>911999.99999999988</v>
      </c>
      <c r="F8" s="86">
        <f>+F7*35.32</f>
        <v>8830000</v>
      </c>
    </row>
    <row r="9" spans="1:10" x14ac:dyDescent="0.45">
      <c r="A9" s="90" t="s">
        <v>128</v>
      </c>
      <c r="B9" s="106">
        <v>533031.27</v>
      </c>
      <c r="C9" s="86">
        <v>-11662591.75</v>
      </c>
      <c r="D9" s="91">
        <v>-18618021.34</v>
      </c>
      <c r="E9" s="86">
        <v>0</v>
      </c>
      <c r="F9" s="86">
        <v>0</v>
      </c>
    </row>
    <row r="10" spans="1:10" x14ac:dyDescent="0.45">
      <c r="A10" s="90" t="s">
        <v>91</v>
      </c>
      <c r="B10" s="106">
        <v>99.99</v>
      </c>
      <c r="C10" s="86">
        <v>49.99</v>
      </c>
      <c r="D10" s="91">
        <v>99.99</v>
      </c>
      <c r="E10" s="86">
        <v>100</v>
      </c>
      <c r="F10" s="86">
        <v>51</v>
      </c>
    </row>
    <row r="11" spans="1:10" x14ac:dyDescent="0.45">
      <c r="A11" s="107" t="s">
        <v>92</v>
      </c>
      <c r="B11" s="95">
        <f>+B10*B8/100</f>
        <v>4249575</v>
      </c>
      <c r="C11" s="95">
        <f>+C10*C8/100</f>
        <v>4999000</v>
      </c>
      <c r="D11" s="95">
        <f>+D10*D8/100</f>
        <v>42935706</v>
      </c>
      <c r="E11" s="95">
        <f>+E10*E8/100</f>
        <v>911999.99999999988</v>
      </c>
      <c r="F11" s="95">
        <f>+F10*F8/100</f>
        <v>4503300</v>
      </c>
      <c r="G11" s="94"/>
      <c r="H11" s="108"/>
    </row>
    <row r="12" spans="1:10" x14ac:dyDescent="0.45">
      <c r="A12" s="90" t="s">
        <v>97</v>
      </c>
      <c r="B12" s="109">
        <v>4001000</v>
      </c>
      <c r="C12" s="110">
        <v>1250375</v>
      </c>
      <c r="D12" s="111">
        <f>24321978.66+21431024.34</f>
        <v>45753003</v>
      </c>
      <c r="E12" s="110">
        <v>912000</v>
      </c>
      <c r="F12" s="110">
        <v>4503300</v>
      </c>
      <c r="G12" s="112">
        <f t="shared" ref="G12:G17" si="0">+SUM(B12:F12)</f>
        <v>56419678</v>
      </c>
    </row>
    <row r="13" spans="1:10" x14ac:dyDescent="0.45">
      <c r="A13" s="113" t="s">
        <v>93</v>
      </c>
      <c r="B13" s="114">
        <v>4782963.74</v>
      </c>
      <c r="C13" s="95">
        <v>-1662591.75</v>
      </c>
      <c r="D13" s="95">
        <v>24321978.66</v>
      </c>
      <c r="E13" s="95">
        <v>899000</v>
      </c>
      <c r="F13" s="95">
        <v>4584900</v>
      </c>
      <c r="G13" s="115">
        <f t="shared" si="0"/>
        <v>32926250.649999999</v>
      </c>
      <c r="H13" s="108"/>
    </row>
    <row r="14" spans="1:10" x14ac:dyDescent="0.45">
      <c r="A14" s="116" t="s">
        <v>9</v>
      </c>
      <c r="B14" s="117">
        <f>+B13-B12</f>
        <v>781963.74000000022</v>
      </c>
      <c r="C14" s="117">
        <f>+C13-C12</f>
        <v>-2912966.75</v>
      </c>
      <c r="D14" s="117">
        <f>+D13-D12</f>
        <v>-21431024.34</v>
      </c>
      <c r="E14" s="117">
        <f>+E13-E12</f>
        <v>-13000</v>
      </c>
      <c r="F14" s="117">
        <f>+F13-F12</f>
        <v>81600</v>
      </c>
      <c r="G14" s="115">
        <f t="shared" si="0"/>
        <v>-23493427.350000001</v>
      </c>
      <c r="H14" s="108"/>
    </row>
    <row r="15" spans="1:10" x14ac:dyDescent="0.45">
      <c r="A15" s="118" t="s">
        <v>94</v>
      </c>
      <c r="B15" s="86">
        <v>9963921.2899999991</v>
      </c>
      <c r="C15" s="86">
        <v>-1090678.93</v>
      </c>
      <c r="D15" s="91">
        <v>-1566605.83</v>
      </c>
      <c r="E15" s="86">
        <v>271135.14</v>
      </c>
      <c r="F15" s="86">
        <v>40003.35</v>
      </c>
      <c r="G15" s="86">
        <f t="shared" si="0"/>
        <v>7617775.0199999986</v>
      </c>
    </row>
    <row r="16" spans="1:10" x14ac:dyDescent="0.45">
      <c r="A16" s="90" t="s">
        <v>95</v>
      </c>
      <c r="B16" s="106">
        <f>+B15*B10/100</f>
        <v>9962924.8978709988</v>
      </c>
      <c r="C16" s="106"/>
      <c r="D16" s="106"/>
      <c r="E16" s="106">
        <f>+E15*E10/100</f>
        <v>271135.14</v>
      </c>
      <c r="F16" s="106">
        <f>+F15*F10/100</f>
        <v>20401.708499999997</v>
      </c>
      <c r="G16" s="86">
        <f t="shared" si="0"/>
        <v>10254461.746370999</v>
      </c>
    </row>
    <row r="17" spans="1:10" x14ac:dyDescent="0.45">
      <c r="A17" s="90" t="s">
        <v>96</v>
      </c>
      <c r="C17" s="106">
        <f>+C15*C10/100</f>
        <v>-545230.397107</v>
      </c>
      <c r="D17" s="106">
        <f>+D15*D10/100</f>
        <v>-1566449.1694170001</v>
      </c>
      <c r="E17" s="106"/>
      <c r="F17" s="106"/>
      <c r="G17" s="86">
        <f t="shared" si="0"/>
        <v>-2111679.5665239999</v>
      </c>
    </row>
    <row r="18" spans="1:10" x14ac:dyDescent="0.45">
      <c r="C18" s="106"/>
      <c r="D18" s="106"/>
      <c r="E18" s="106"/>
      <c r="F18" s="106"/>
    </row>
    <row r="19" spans="1:10" x14ac:dyDescent="0.45">
      <c r="A19" s="90" t="s">
        <v>118</v>
      </c>
      <c r="B19" s="106">
        <f>+B15*(100-B10)/100</f>
        <v>996.39212900050961</v>
      </c>
      <c r="C19" s="106">
        <f>+C15*(100-C10)/100</f>
        <v>-545448.53289299994</v>
      </c>
      <c r="D19" s="106">
        <f>+D15*(100-D10)/100</f>
        <v>-156.66058300008015</v>
      </c>
      <c r="E19" s="106">
        <f>+E15*(100-E10)/100</f>
        <v>0</v>
      </c>
      <c r="F19" s="106">
        <f>+F15*(100-F10)/100</f>
        <v>19601.641499999998</v>
      </c>
      <c r="G19" s="119">
        <f>+SUM(B19:F19)</f>
        <v>-525007.15984699945</v>
      </c>
    </row>
    <row r="20" spans="1:10" x14ac:dyDescent="0.45">
      <c r="C20" s="106"/>
      <c r="D20" s="106"/>
      <c r="E20" s="106"/>
      <c r="F20" s="106"/>
    </row>
    <row r="21" spans="1:10" x14ac:dyDescent="0.45">
      <c r="C21" s="106"/>
      <c r="D21" s="106"/>
      <c r="E21" s="106"/>
      <c r="F21" s="106"/>
    </row>
    <row r="22" spans="1:10" x14ac:dyDescent="0.45">
      <c r="A22" s="113" t="s">
        <v>125</v>
      </c>
      <c r="B22" s="106">
        <f>+B15+B8+B9</f>
        <v>14746952.559999999</v>
      </c>
      <c r="C22" s="106">
        <f>+C15+C8+C9</f>
        <v>-2753270.6799999997</v>
      </c>
      <c r="D22" s="106">
        <f>+D15+D8+D9</f>
        <v>22755372.830000002</v>
      </c>
      <c r="E22" s="106">
        <f>+E15+E8+E9</f>
        <v>1183135.1399999999</v>
      </c>
      <c r="F22" s="106">
        <f>+F15+F8+F9</f>
        <v>8870003.3499999996</v>
      </c>
    </row>
    <row r="23" spans="1:10" x14ac:dyDescent="0.45">
      <c r="A23" s="90" t="s">
        <v>126</v>
      </c>
      <c r="B23" s="106">
        <f>+B22*(100-B10)/100</f>
        <v>1474.6952560007544</v>
      </c>
      <c r="C23" s="106">
        <f>+C22*(100-C10)/100</f>
        <v>-1376910.667068</v>
      </c>
      <c r="D23" s="106">
        <f>+D22*(100-D10)/100</f>
        <v>2275.5372830011643</v>
      </c>
      <c r="E23" s="106">
        <f>+E22*(100-E10)/100</f>
        <v>0</v>
      </c>
      <c r="F23" s="106">
        <f>+F22*(100-F10)/100</f>
        <v>4346301.6414999999</v>
      </c>
      <c r="G23" s="119">
        <f>+SUM(B23:F23)</f>
        <v>2973141.2069710018</v>
      </c>
    </row>
    <row r="24" spans="1:10" x14ac:dyDescent="0.45">
      <c r="A24" s="90" t="s">
        <v>127</v>
      </c>
      <c r="C24" s="106"/>
      <c r="D24" s="106"/>
      <c r="E24" s="106"/>
      <c r="F24" s="106">
        <v>-4274821.25</v>
      </c>
      <c r="G24" s="119">
        <f>+SUM(B24:F24)</f>
        <v>-4274821.25</v>
      </c>
    </row>
    <row r="25" spans="1:10" x14ac:dyDescent="0.45">
      <c r="C25" s="106"/>
      <c r="D25" s="106"/>
      <c r="E25" s="106"/>
      <c r="F25" s="106"/>
      <c r="G25" s="119"/>
    </row>
    <row r="26" spans="1:10" x14ac:dyDescent="0.45">
      <c r="C26" s="106"/>
      <c r="D26" s="106"/>
      <c r="E26" s="106"/>
      <c r="F26" s="106"/>
      <c r="G26" s="119"/>
    </row>
    <row r="27" spans="1:10" ht="21.75" thickBot="1" x14ac:dyDescent="0.5">
      <c r="C27" s="106"/>
      <c r="D27" s="106"/>
      <c r="E27" s="106"/>
      <c r="F27" s="106"/>
      <c r="G27" s="120">
        <f>SUM(G23:G26)</f>
        <v>-1301680.0430289982</v>
      </c>
    </row>
    <row r="28" spans="1:10" ht="21.75" thickTop="1" x14ac:dyDescent="0.45">
      <c r="C28" s="91"/>
    </row>
    <row r="29" spans="1:10" x14ac:dyDescent="0.45">
      <c r="A29" s="121" t="s">
        <v>34</v>
      </c>
      <c r="B29" s="91"/>
      <c r="G29" s="86">
        <v>-2135652.63</v>
      </c>
    </row>
    <row r="30" spans="1:10" x14ac:dyDescent="0.45">
      <c r="A30" s="90" t="s">
        <v>101</v>
      </c>
      <c r="B30" s="91"/>
      <c r="G30" s="86">
        <f>+G29-G27</f>
        <v>-833972.5869710017</v>
      </c>
    </row>
    <row r="31" spans="1:10" x14ac:dyDescent="0.45">
      <c r="A31" s="90" t="s">
        <v>106</v>
      </c>
      <c r="B31" s="91"/>
      <c r="C31" s="91">
        <f>23544963.08-13000</f>
        <v>23531963.079999998</v>
      </c>
      <c r="E31" s="91"/>
      <c r="F31" s="91"/>
      <c r="G31" s="91"/>
      <c r="H31" s="122"/>
      <c r="I31" s="91"/>
      <c r="J31" s="91"/>
    </row>
    <row r="32" spans="1:10" x14ac:dyDescent="0.45">
      <c r="A32" s="90" t="s">
        <v>107</v>
      </c>
      <c r="B32" s="91"/>
      <c r="D32" s="91">
        <f>+C31</f>
        <v>23531963.079999998</v>
      </c>
      <c r="G32" s="86">
        <v>78400</v>
      </c>
      <c r="H32" s="108"/>
    </row>
    <row r="33" spans="1:8" x14ac:dyDescent="0.45">
      <c r="G33" s="86">
        <v>-615.72</v>
      </c>
    </row>
    <row r="34" spans="1:8" x14ac:dyDescent="0.45">
      <c r="G34" s="86">
        <v>781963.74</v>
      </c>
    </row>
    <row r="35" spans="1:8" x14ac:dyDescent="0.45">
      <c r="A35" s="90" t="s">
        <v>102</v>
      </c>
      <c r="G35" s="86">
        <f>SUM(G32:G34)</f>
        <v>859748.02</v>
      </c>
    </row>
    <row r="36" spans="1:8" x14ac:dyDescent="0.45">
      <c r="A36" s="90" t="s">
        <v>104</v>
      </c>
      <c r="C36" s="86">
        <v>22681399.34</v>
      </c>
    </row>
    <row r="37" spans="1:8" x14ac:dyDescent="0.45">
      <c r="A37" s="90" t="s">
        <v>105</v>
      </c>
      <c r="D37" s="91">
        <f>+C36</f>
        <v>22681399.34</v>
      </c>
    </row>
    <row r="39" spans="1:8" x14ac:dyDescent="0.45">
      <c r="A39" s="90" t="s">
        <v>120</v>
      </c>
    </row>
    <row r="40" spans="1:8" x14ac:dyDescent="0.45">
      <c r="A40" s="90" t="s">
        <v>121</v>
      </c>
      <c r="C40" s="86">
        <v>1662591.75</v>
      </c>
    </row>
    <row r="41" spans="1:8" x14ac:dyDescent="0.45">
      <c r="A41" s="90" t="s">
        <v>122</v>
      </c>
      <c r="B41" s="91"/>
      <c r="D41" s="91">
        <f>+++++++C40</f>
        <v>1662591.75</v>
      </c>
    </row>
    <row r="42" spans="1:8" x14ac:dyDescent="0.45">
      <c r="B42" s="91"/>
    </row>
    <row r="43" spans="1:8" x14ac:dyDescent="0.45">
      <c r="B43" s="91"/>
    </row>
    <row r="44" spans="1:8" x14ac:dyDescent="0.45">
      <c r="A44" s="121" t="s">
        <v>33</v>
      </c>
      <c r="B44" s="91"/>
    </row>
    <row r="45" spans="1:8" x14ac:dyDescent="0.45">
      <c r="A45" s="90" t="s">
        <v>103</v>
      </c>
      <c r="B45" s="91"/>
      <c r="C45" s="86">
        <f>+G16+G17</f>
        <v>8142782.1798469992</v>
      </c>
    </row>
    <row r="46" spans="1:8" x14ac:dyDescent="0.45">
      <c r="A46" s="90" t="s">
        <v>100</v>
      </c>
      <c r="B46" s="91"/>
    </row>
    <row r="47" spans="1:8" x14ac:dyDescent="0.45">
      <c r="A47" s="90" t="s">
        <v>99</v>
      </c>
      <c r="B47" s="91"/>
      <c r="H47" s="108"/>
    </row>
    <row r="48" spans="1:8" x14ac:dyDescent="0.45">
      <c r="B48" s="91"/>
    </row>
    <row r="49" spans="1:10" x14ac:dyDescent="0.45">
      <c r="B49" s="91"/>
    </row>
    <row r="50" spans="1:10" x14ac:dyDescent="0.45">
      <c r="B50" s="91"/>
    </row>
    <row r="51" spans="1:10" x14ac:dyDescent="0.45">
      <c r="B51" s="91"/>
      <c r="C51" s="91"/>
      <c r="E51" s="91"/>
      <c r="F51" s="91"/>
      <c r="G51" s="91"/>
      <c r="I51" s="91"/>
      <c r="J51" s="91"/>
    </row>
    <row r="52" spans="1:10" x14ac:dyDescent="0.45">
      <c r="B52" s="91"/>
    </row>
    <row r="53" spans="1:10" x14ac:dyDescent="0.45">
      <c r="B53" s="86"/>
    </row>
    <row r="54" spans="1:10" x14ac:dyDescent="0.45">
      <c r="B54" s="91"/>
    </row>
    <row r="55" spans="1:10" x14ac:dyDescent="0.45">
      <c r="B55" s="91"/>
      <c r="C55" s="91"/>
      <c r="E55" s="91"/>
      <c r="F55" s="91"/>
      <c r="G55" s="91"/>
      <c r="J55" s="91"/>
    </row>
    <row r="56" spans="1:10" x14ac:dyDescent="0.45">
      <c r="B56" s="91"/>
      <c r="C56" s="91"/>
      <c r="E56" s="91"/>
      <c r="F56" s="91"/>
      <c r="G56" s="91"/>
      <c r="J56" s="91"/>
    </row>
    <row r="57" spans="1:10" x14ac:dyDescent="0.45">
      <c r="B57" s="91"/>
    </row>
    <row r="58" spans="1:10" x14ac:dyDescent="0.45">
      <c r="A58" s="123"/>
      <c r="B58" s="91"/>
      <c r="H58" s="108"/>
    </row>
    <row r="59" spans="1:10" x14ac:dyDescent="0.45">
      <c r="A59" s="124"/>
      <c r="B59" s="91"/>
    </row>
    <row r="60" spans="1:10" x14ac:dyDescent="0.45">
      <c r="A60" s="124"/>
      <c r="B60" s="91"/>
    </row>
    <row r="61" spans="1:10" x14ac:dyDescent="0.45">
      <c r="A61" s="124"/>
      <c r="B61" s="91"/>
    </row>
    <row r="62" spans="1:10" x14ac:dyDescent="0.45">
      <c r="B62" s="91"/>
    </row>
    <row r="63" spans="1:10" x14ac:dyDescent="0.45">
      <c r="B63" s="125"/>
    </row>
    <row r="64" spans="1:10" x14ac:dyDescent="0.45">
      <c r="B64" s="91"/>
    </row>
    <row r="65" spans="1:10" x14ac:dyDescent="0.45">
      <c r="B65" s="91"/>
      <c r="C65" s="91"/>
      <c r="E65" s="91"/>
      <c r="F65" s="91"/>
      <c r="G65" s="91"/>
      <c r="J65" s="91"/>
    </row>
    <row r="66" spans="1:10" x14ac:dyDescent="0.45">
      <c r="B66" s="91"/>
      <c r="C66" s="91"/>
      <c r="E66" s="91"/>
      <c r="F66" s="91"/>
      <c r="G66" s="91"/>
    </row>
    <row r="67" spans="1:10" x14ac:dyDescent="0.45">
      <c r="B67" s="91"/>
      <c r="C67" s="91"/>
      <c r="E67" s="91"/>
      <c r="F67" s="91"/>
      <c r="G67" s="91"/>
      <c r="J67" s="91"/>
    </row>
    <row r="68" spans="1:10" x14ac:dyDescent="0.45">
      <c r="B68" s="91"/>
      <c r="C68" s="91"/>
      <c r="E68" s="91"/>
      <c r="F68" s="91"/>
      <c r="G68" s="91"/>
      <c r="J68" s="91"/>
    </row>
    <row r="69" spans="1:10" x14ac:dyDescent="0.45">
      <c r="B69" s="91"/>
    </row>
    <row r="70" spans="1:10" x14ac:dyDescent="0.45">
      <c r="B70" s="126"/>
      <c r="C70" s="126"/>
      <c r="D70" s="126"/>
      <c r="E70" s="126"/>
      <c r="F70" s="126"/>
      <c r="G70" s="126"/>
      <c r="H70" s="127"/>
      <c r="I70" s="128"/>
      <c r="J70" s="126"/>
    </row>
    <row r="71" spans="1:10" x14ac:dyDescent="0.45">
      <c r="A71" s="129"/>
      <c r="B71" s="129"/>
    </row>
    <row r="72" spans="1:10" x14ac:dyDescent="0.45">
      <c r="A72" s="130"/>
      <c r="B72" s="130"/>
    </row>
    <row r="73" spans="1:10" x14ac:dyDescent="0.45">
      <c r="A73" s="130"/>
      <c r="B73" s="130"/>
    </row>
    <row r="74" spans="1:10" ht="18" customHeight="1" x14ac:dyDescent="0.45">
      <c r="A74" s="130"/>
      <c r="B74" s="130"/>
    </row>
    <row r="75" spans="1:10" x14ac:dyDescent="0.45">
      <c r="B75" s="91"/>
    </row>
    <row r="76" spans="1:10" x14ac:dyDescent="0.45">
      <c r="B76" s="91"/>
      <c r="E76" s="91"/>
      <c r="F76" s="91"/>
      <c r="H76" s="108"/>
    </row>
    <row r="77" spans="1:10" x14ac:dyDescent="0.45">
      <c r="B77" s="91"/>
      <c r="E77" s="91"/>
      <c r="F77" s="91"/>
    </row>
    <row r="78" spans="1:10" x14ac:dyDescent="0.45">
      <c r="B78" s="91"/>
      <c r="E78" s="91"/>
      <c r="F78" s="91"/>
    </row>
    <row r="79" spans="1:10" x14ac:dyDescent="0.45">
      <c r="B79" s="91"/>
      <c r="E79" s="91"/>
      <c r="F79" s="91"/>
      <c r="H79" s="108"/>
    </row>
    <row r="80" spans="1:10" x14ac:dyDescent="0.45">
      <c r="B80" s="91"/>
      <c r="E80" s="91"/>
      <c r="F80" s="91"/>
    </row>
    <row r="81" spans="2:8" x14ac:dyDescent="0.45">
      <c r="B81" s="91"/>
      <c r="C81" s="91"/>
      <c r="E81" s="91"/>
      <c r="F81" s="91"/>
      <c r="G81" s="91"/>
    </row>
    <row r="82" spans="2:8" x14ac:dyDescent="0.45">
      <c r="B82" s="91"/>
      <c r="E82" s="91"/>
      <c r="F82" s="91"/>
      <c r="G82" s="91"/>
    </row>
    <row r="83" spans="2:8" x14ac:dyDescent="0.45">
      <c r="B83" s="91"/>
      <c r="C83" s="91"/>
      <c r="E83" s="91"/>
      <c r="F83" s="91"/>
    </row>
    <row r="84" spans="2:8" x14ac:dyDescent="0.45">
      <c r="B84" s="91"/>
      <c r="C84" s="91"/>
      <c r="E84" s="91"/>
      <c r="F84" s="91"/>
      <c r="H84" s="108"/>
    </row>
    <row r="85" spans="2:8" x14ac:dyDescent="0.45">
      <c r="B85" s="91"/>
      <c r="C85" s="91"/>
      <c r="E85" s="91"/>
      <c r="F85" s="91"/>
    </row>
    <row r="86" spans="2:8" x14ac:dyDescent="0.45">
      <c r="B86" s="91"/>
      <c r="C86" s="91"/>
      <c r="E86" s="91"/>
      <c r="F86" s="91"/>
    </row>
    <row r="87" spans="2:8" x14ac:dyDescent="0.45">
      <c r="B87" s="91"/>
      <c r="C87" s="91"/>
      <c r="E87" s="91"/>
      <c r="F87" s="91"/>
      <c r="G87" s="91"/>
    </row>
    <row r="88" spans="2:8" x14ac:dyDescent="0.45">
      <c r="B88" s="91"/>
      <c r="C88" s="91"/>
      <c r="E88" s="91"/>
      <c r="F88" s="91"/>
      <c r="G88" s="91"/>
    </row>
    <row r="89" spans="2:8" x14ac:dyDescent="0.45">
      <c r="B89" s="91"/>
      <c r="C89" s="91"/>
      <c r="E89" s="91"/>
      <c r="F89" s="91"/>
      <c r="G89" s="91"/>
    </row>
    <row r="90" spans="2:8" x14ac:dyDescent="0.45">
      <c r="B90" s="91"/>
      <c r="C90" s="91"/>
      <c r="E90" s="91"/>
      <c r="F90" s="91"/>
    </row>
    <row r="91" spans="2:8" x14ac:dyDescent="0.45">
      <c r="B91" s="125"/>
      <c r="C91" s="125"/>
      <c r="D91" s="125"/>
      <c r="E91" s="125"/>
      <c r="F91" s="125"/>
    </row>
    <row r="92" spans="2:8" x14ac:dyDescent="0.45">
      <c r="B92" s="129"/>
      <c r="C92" s="129"/>
      <c r="D92" s="129"/>
      <c r="E92" s="129"/>
      <c r="F92" s="129"/>
      <c r="G92" s="129"/>
    </row>
    <row r="93" spans="2:8" x14ac:dyDescent="0.45">
      <c r="B93" s="125"/>
      <c r="C93" s="125"/>
      <c r="D93" s="125"/>
      <c r="E93" s="125"/>
      <c r="F93" s="125"/>
      <c r="G93" s="125"/>
    </row>
    <row r="94" spans="2:8" x14ac:dyDescent="0.45">
      <c r="B94" s="91"/>
      <c r="C94" s="91"/>
      <c r="E94" s="91"/>
      <c r="F94" s="91"/>
      <c r="G94" s="91"/>
    </row>
    <row r="95" spans="2:8" ht="9.9499999999999993" customHeight="1" x14ac:dyDescent="0.45">
      <c r="B95" s="91"/>
      <c r="C95" s="91"/>
      <c r="E95" s="91"/>
      <c r="F95" s="91"/>
      <c r="G95" s="91"/>
    </row>
    <row r="96" spans="2:8" x14ac:dyDescent="0.45">
      <c r="B96" s="91"/>
    </row>
    <row r="97" spans="2:2" x14ac:dyDescent="0.45">
      <c r="B97" s="91"/>
    </row>
    <row r="98" spans="2:2" x14ac:dyDescent="0.45">
      <c r="B98" s="91"/>
    </row>
    <row r="99" spans="2:2" x14ac:dyDescent="0.45">
      <c r="B99" s="91"/>
    </row>
    <row r="100" spans="2:2" x14ac:dyDescent="0.45">
      <c r="B100" s="91"/>
    </row>
    <row r="101" spans="2:2" x14ac:dyDescent="0.45">
      <c r="B101" s="91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ColWidth="9.140625" defaultRowHeight="18" x14ac:dyDescent="0.4"/>
  <cols>
    <col min="1" max="2" width="2.7109375" style="3" customWidth="1"/>
    <col min="3" max="3" width="36.7109375" style="3" customWidth="1"/>
    <col min="4" max="5" width="12.7109375" style="5" customWidth="1"/>
    <col min="6" max="6" width="12.7109375" style="1" customWidth="1"/>
    <col min="7" max="7" width="12.7109375" style="2" customWidth="1"/>
    <col min="8" max="10" width="12.7109375" style="1" customWidth="1"/>
    <col min="11" max="11" width="15.28515625" style="54" customWidth="1"/>
    <col min="12" max="13" width="12.7109375" style="1" customWidth="1"/>
    <col min="14" max="14" width="2.28515625" style="3" customWidth="1"/>
    <col min="15" max="16" width="12.7109375" style="3" customWidth="1"/>
    <col min="17" max="16384" width="9.140625" style="3"/>
  </cols>
  <sheetData>
    <row r="1" spans="1:15" x14ac:dyDescent="0.4">
      <c r="A1" s="47" t="s">
        <v>52</v>
      </c>
      <c r="B1" s="27"/>
      <c r="C1" s="27"/>
      <c r="D1" s="27"/>
      <c r="E1" s="27"/>
      <c r="G1" s="44"/>
      <c r="H1" s="45"/>
      <c r="I1" s="45"/>
    </row>
    <row r="2" spans="1:15" ht="21.75" customHeight="1" x14ac:dyDescent="0.4">
      <c r="A2" s="47" t="s">
        <v>70</v>
      </c>
      <c r="B2" s="27"/>
      <c r="C2" s="27"/>
      <c r="D2" s="27"/>
      <c r="E2" s="27"/>
    </row>
    <row r="3" spans="1:15" ht="21.75" customHeight="1" x14ac:dyDescent="0.4">
      <c r="A3" s="42" t="s">
        <v>69</v>
      </c>
      <c r="B3" s="27"/>
      <c r="C3" s="27"/>
      <c r="D3" s="27"/>
      <c r="E3" s="27"/>
      <c r="K3" s="220" t="s">
        <v>71</v>
      </c>
      <c r="L3" s="220"/>
    </row>
    <row r="4" spans="1:15" s="38" customFormat="1" ht="18" customHeight="1" x14ac:dyDescent="0.4">
      <c r="D4" s="48" t="s">
        <v>62</v>
      </c>
      <c r="E4" s="48" t="s">
        <v>63</v>
      </c>
      <c r="F4" s="50" t="s">
        <v>64</v>
      </c>
      <c r="G4" s="51" t="s">
        <v>65</v>
      </c>
      <c r="H4" s="50" t="s">
        <v>66</v>
      </c>
      <c r="I4" s="50" t="s">
        <v>67</v>
      </c>
      <c r="J4" s="50" t="s">
        <v>27</v>
      </c>
      <c r="K4" s="55" t="s">
        <v>72</v>
      </c>
      <c r="L4" s="52" t="s">
        <v>73</v>
      </c>
      <c r="M4" s="49" t="s">
        <v>33</v>
      </c>
    </row>
    <row r="5" spans="1:15" x14ac:dyDescent="0.4">
      <c r="A5" s="9" t="s">
        <v>8</v>
      </c>
      <c r="B5" s="9"/>
      <c r="C5" s="9"/>
      <c r="D5" s="11"/>
      <c r="E5" s="11"/>
    </row>
    <row r="6" spans="1:15" x14ac:dyDescent="0.4">
      <c r="A6" s="9"/>
      <c r="B6" s="9" t="s">
        <v>17</v>
      </c>
      <c r="C6" s="9"/>
      <c r="D6" s="5">
        <v>316767129.02999997</v>
      </c>
      <c r="E6" s="11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1">
        <f>+I6+H6+G6+F6+E6+D6</f>
        <v>341190247.58999997</v>
      </c>
      <c r="M6" s="1">
        <f>+L6+J6</f>
        <v>341190247.58999997</v>
      </c>
    </row>
    <row r="7" spans="1:15" x14ac:dyDescent="0.4">
      <c r="A7" s="9"/>
      <c r="B7" s="9" t="s">
        <v>53</v>
      </c>
      <c r="C7" s="9"/>
      <c r="D7" s="5">
        <v>40216527.100000001</v>
      </c>
      <c r="E7" s="11"/>
      <c r="J7" s="1">
        <f t="shared" ref="J7:J18" si="0">+I7+H7+G7+F7+E7+D7</f>
        <v>40216527.100000001</v>
      </c>
      <c r="M7" s="1">
        <f t="shared" ref="M7:M78" si="1">+L7+J7</f>
        <v>40216527.100000001</v>
      </c>
    </row>
    <row r="8" spans="1:15" x14ac:dyDescent="0.4">
      <c r="A8" s="9"/>
      <c r="B8" s="9" t="s">
        <v>74</v>
      </c>
      <c r="C8" s="9"/>
      <c r="D8" s="11">
        <v>6241052.1100000003</v>
      </c>
      <c r="E8" s="11"/>
      <c r="H8" s="1">
        <v>0</v>
      </c>
      <c r="J8" s="1">
        <f t="shared" si="0"/>
        <v>6241052.1100000003</v>
      </c>
      <c r="K8" s="58" t="s">
        <v>84</v>
      </c>
      <c r="L8" s="1">
        <v>-4636052.1100000003</v>
      </c>
      <c r="M8" s="1">
        <f t="shared" si="1"/>
        <v>1605000</v>
      </c>
    </row>
    <row r="9" spans="1:15" x14ac:dyDescent="0.4">
      <c r="A9" s="9"/>
      <c r="B9" s="9" t="s">
        <v>75</v>
      </c>
      <c r="C9" s="9"/>
      <c r="D9" s="11">
        <v>5331982.99</v>
      </c>
      <c r="E9" s="11"/>
      <c r="H9" s="1">
        <v>0</v>
      </c>
      <c r="J9" s="1">
        <f t="shared" si="0"/>
        <v>5331982.99</v>
      </c>
      <c r="M9" s="1">
        <f t="shared" si="1"/>
        <v>5331982.99</v>
      </c>
    </row>
    <row r="10" spans="1:15" x14ac:dyDescent="0.4">
      <c r="A10" s="9"/>
      <c r="B10" s="9" t="s">
        <v>113</v>
      </c>
      <c r="C10" s="9"/>
      <c r="D10" s="11"/>
      <c r="E10" s="11"/>
      <c r="H10" s="62">
        <f>4274821.25+348965</f>
        <v>4623786.25</v>
      </c>
      <c r="J10" s="1">
        <f t="shared" si="0"/>
        <v>4623786.25</v>
      </c>
      <c r="K10" s="54" t="s">
        <v>130</v>
      </c>
      <c r="L10" s="1">
        <v>-4274821.25</v>
      </c>
      <c r="M10" s="1">
        <f t="shared" si="1"/>
        <v>348965</v>
      </c>
    </row>
    <row r="11" spans="1:15" x14ac:dyDescent="0.4">
      <c r="A11" s="9"/>
      <c r="B11" s="9" t="s">
        <v>76</v>
      </c>
      <c r="C11" s="9"/>
      <c r="D11" s="11">
        <v>90000</v>
      </c>
      <c r="E11" s="11"/>
      <c r="H11" s="1">
        <v>0</v>
      </c>
      <c r="J11" s="1">
        <f t="shared" si="0"/>
        <v>90000</v>
      </c>
      <c r="K11" s="58" t="s">
        <v>85</v>
      </c>
      <c r="L11" s="1">
        <v>-90000</v>
      </c>
      <c r="M11" s="1">
        <f t="shared" si="1"/>
        <v>0</v>
      </c>
    </row>
    <row r="12" spans="1:15" x14ac:dyDescent="0.4">
      <c r="A12" s="9"/>
      <c r="B12" s="9" t="s">
        <v>77</v>
      </c>
      <c r="C12" s="9"/>
      <c r="D12" s="11">
        <v>150000</v>
      </c>
      <c r="E12" s="1"/>
      <c r="H12" s="1">
        <v>0</v>
      </c>
      <c r="J12" s="1">
        <f t="shared" si="0"/>
        <v>150000</v>
      </c>
      <c r="M12" s="1">
        <f t="shared" si="1"/>
        <v>150000</v>
      </c>
    </row>
    <row r="13" spans="1:15" x14ac:dyDescent="0.4">
      <c r="A13" s="9"/>
      <c r="B13" s="9" t="s">
        <v>32</v>
      </c>
      <c r="C13" s="9"/>
      <c r="D13" s="11">
        <v>0</v>
      </c>
      <c r="E13" s="11"/>
      <c r="F13" s="2"/>
      <c r="H13" s="1">
        <v>0</v>
      </c>
      <c r="J13" s="1">
        <f t="shared" si="0"/>
        <v>0</v>
      </c>
      <c r="M13" s="1">
        <f t="shared" si="1"/>
        <v>0</v>
      </c>
    </row>
    <row r="14" spans="1:15" x14ac:dyDescent="0.4">
      <c r="A14" s="9"/>
      <c r="B14" s="9" t="s">
        <v>44</v>
      </c>
      <c r="C14" s="9"/>
      <c r="D14" s="11"/>
      <c r="E14" s="11"/>
      <c r="F14" s="2"/>
      <c r="H14" s="1">
        <v>0</v>
      </c>
      <c r="J14" s="1">
        <f t="shared" si="0"/>
        <v>0</v>
      </c>
      <c r="M14" s="1">
        <f t="shared" si="1"/>
        <v>0</v>
      </c>
    </row>
    <row r="15" spans="1:15" x14ac:dyDescent="0.4">
      <c r="A15" s="9"/>
      <c r="B15" s="9"/>
      <c r="C15" s="9" t="s">
        <v>1</v>
      </c>
      <c r="D15" s="11">
        <v>1345040.03</v>
      </c>
      <c r="E15" s="11">
        <v>25395.599999999999</v>
      </c>
      <c r="F15" s="2"/>
      <c r="H15" s="1">
        <v>63528.73</v>
      </c>
      <c r="J15" s="1">
        <f t="shared" si="0"/>
        <v>1433964.36</v>
      </c>
      <c r="M15" s="1">
        <f t="shared" si="1"/>
        <v>1433964.36</v>
      </c>
      <c r="O15" s="4">
        <f>1433964.36-M15</f>
        <v>0</v>
      </c>
    </row>
    <row r="16" spans="1:15" x14ac:dyDescent="0.4">
      <c r="A16" s="9"/>
      <c r="B16" s="9"/>
      <c r="C16" s="9" t="s">
        <v>28</v>
      </c>
      <c r="D16" s="11">
        <v>485562.25</v>
      </c>
      <c r="E16" s="11">
        <f>114906.28-92587.07</f>
        <v>22319.209999999992</v>
      </c>
      <c r="F16" s="2">
        <v>6340.21</v>
      </c>
      <c r="G16" s="2">
        <v>11953.42</v>
      </c>
      <c r="H16" s="1">
        <v>0</v>
      </c>
      <c r="J16" s="1">
        <f t="shared" si="0"/>
        <v>526175.09</v>
      </c>
      <c r="M16" s="1">
        <f t="shared" si="1"/>
        <v>526175.09</v>
      </c>
    </row>
    <row r="17" spans="1:15" x14ac:dyDescent="0.4">
      <c r="A17" s="9"/>
      <c r="B17" s="9"/>
      <c r="C17" s="9" t="s">
        <v>10</v>
      </c>
      <c r="D17" s="11"/>
      <c r="E17" s="11">
        <v>15664.65</v>
      </c>
      <c r="F17" s="2">
        <v>47620.07</v>
      </c>
      <c r="G17" s="2">
        <v>1929.28</v>
      </c>
      <c r="H17" s="1">
        <v>0</v>
      </c>
      <c r="J17" s="1">
        <f t="shared" si="0"/>
        <v>65214</v>
      </c>
      <c r="M17" s="1">
        <f t="shared" si="1"/>
        <v>65214</v>
      </c>
    </row>
    <row r="18" spans="1:15" x14ac:dyDescent="0.4">
      <c r="A18" s="9"/>
      <c r="B18" s="9"/>
      <c r="C18" s="9" t="s">
        <v>43</v>
      </c>
      <c r="D18" s="11">
        <f>529964.28-D16</f>
        <v>44402.030000000028</v>
      </c>
      <c r="E18" s="11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1">
        <f t="shared" si="0"/>
        <v>168983.59000000005</v>
      </c>
      <c r="L18" s="75">
        <v>615.72</v>
      </c>
      <c r="M18" s="1">
        <f t="shared" si="1"/>
        <v>169599.31000000006</v>
      </c>
      <c r="O18" s="4">
        <f>+M18+M17+M16-760988.4</f>
        <v>0</v>
      </c>
    </row>
    <row r="19" spans="1:15" x14ac:dyDescent="0.4">
      <c r="A19" s="9"/>
      <c r="B19" s="9"/>
      <c r="C19" s="9" t="s">
        <v>18</v>
      </c>
      <c r="D19" s="16">
        <f t="shared" ref="D19:J19" si="2">SUM(D6:D18)</f>
        <v>370671695.53999996</v>
      </c>
      <c r="E19" s="16">
        <f t="shared" si="2"/>
        <v>19281423.650000002</v>
      </c>
      <c r="F19" s="16">
        <f t="shared" si="2"/>
        <v>109686.79999999999</v>
      </c>
      <c r="G19" s="16">
        <f t="shared" si="2"/>
        <v>72381.78</v>
      </c>
      <c r="H19" s="16">
        <f t="shared" si="2"/>
        <v>8758347.5</v>
      </c>
      <c r="I19" s="16">
        <f t="shared" si="2"/>
        <v>1144397.81</v>
      </c>
      <c r="J19" s="16">
        <f t="shared" si="2"/>
        <v>400037933.07999998</v>
      </c>
      <c r="K19" s="56"/>
      <c r="L19" s="17"/>
      <c r="M19" s="16">
        <f>SUM(M6:M18)</f>
        <v>391037675.44</v>
      </c>
    </row>
    <row r="20" spans="1:15" x14ac:dyDescent="0.4">
      <c r="A20" s="9" t="s">
        <v>45</v>
      </c>
      <c r="B20" s="9"/>
      <c r="C20" s="9"/>
      <c r="D20" s="11"/>
      <c r="E20" s="11"/>
      <c r="K20" s="58"/>
    </row>
    <row r="21" spans="1:15" x14ac:dyDescent="0.4">
      <c r="A21" s="9"/>
      <c r="B21" s="9" t="s">
        <v>54</v>
      </c>
      <c r="C21" s="9"/>
      <c r="D21" s="46">
        <v>56419678</v>
      </c>
      <c r="E21" s="11"/>
      <c r="H21" s="1">
        <v>0</v>
      </c>
      <c r="J21" s="1">
        <f t="shared" ref="J21:J27" si="3">+I21+H21+G21+F21+E21+D21</f>
        <v>56419678</v>
      </c>
      <c r="K21" s="58" t="s">
        <v>87</v>
      </c>
      <c r="L21" s="1">
        <v>-56419678</v>
      </c>
      <c r="M21" s="1">
        <f>+J21+L21</f>
        <v>0</v>
      </c>
    </row>
    <row r="22" spans="1:15" x14ac:dyDescent="0.4">
      <c r="A22" s="9"/>
      <c r="B22" s="9" t="s">
        <v>112</v>
      </c>
      <c r="C22" s="9"/>
      <c r="D22" s="46">
        <v>-22681399.34</v>
      </c>
      <c r="E22" s="11"/>
      <c r="J22" s="1">
        <f t="shared" si="3"/>
        <v>-22681399.34</v>
      </c>
      <c r="K22" s="58" t="s">
        <v>109</v>
      </c>
      <c r="L22" s="1">
        <v>22681399.34</v>
      </c>
      <c r="M22" s="1">
        <f>+J22+L22</f>
        <v>0</v>
      </c>
    </row>
    <row r="23" spans="1:15" x14ac:dyDescent="0.4">
      <c r="A23" s="9"/>
      <c r="B23" s="9" t="s">
        <v>55</v>
      </c>
      <c r="C23" s="9"/>
      <c r="D23" s="11">
        <v>5315259</v>
      </c>
      <c r="E23" s="11"/>
      <c r="G23" s="2">
        <v>24900100</v>
      </c>
      <c r="H23" s="1">
        <v>0</v>
      </c>
      <c r="J23" s="1">
        <f t="shared" si="3"/>
        <v>30215359</v>
      </c>
      <c r="M23" s="1">
        <f t="shared" si="1"/>
        <v>30215359</v>
      </c>
    </row>
    <row r="24" spans="1:15" x14ac:dyDescent="0.4">
      <c r="A24" s="9"/>
      <c r="B24" s="9" t="s">
        <v>81</v>
      </c>
      <c r="C24" s="9"/>
      <c r="D24" s="5">
        <v>4125330.22</v>
      </c>
      <c r="E24" s="11">
        <v>4036.43</v>
      </c>
      <c r="F24" s="1">
        <v>137242.54</v>
      </c>
      <c r="H24" s="1">
        <v>0</v>
      </c>
      <c r="J24" s="1">
        <f t="shared" si="3"/>
        <v>4266609.1900000004</v>
      </c>
      <c r="M24" s="1">
        <f>+J24+L24</f>
        <v>4266609.1900000004</v>
      </c>
    </row>
    <row r="25" spans="1:15" x14ac:dyDescent="0.4">
      <c r="A25" s="9"/>
      <c r="B25" s="9" t="s">
        <v>46</v>
      </c>
      <c r="C25" s="9"/>
      <c r="D25" s="11"/>
      <c r="E25" s="11"/>
      <c r="H25" s="1">
        <v>0</v>
      </c>
      <c r="J25" s="1">
        <f t="shared" si="3"/>
        <v>0</v>
      </c>
      <c r="M25" s="1">
        <f t="shared" si="1"/>
        <v>0</v>
      </c>
    </row>
    <row r="26" spans="1:15" x14ac:dyDescent="0.4">
      <c r="A26" s="9"/>
      <c r="B26" s="9"/>
      <c r="C26" s="9" t="s">
        <v>31</v>
      </c>
      <c r="D26" s="11">
        <f>1301692.81+0.01</f>
        <v>1301692.82</v>
      </c>
      <c r="E26" s="11">
        <v>452453.91</v>
      </c>
      <c r="F26" s="2">
        <v>39.15</v>
      </c>
      <c r="G26" s="2">
        <v>61.14</v>
      </c>
      <c r="H26" s="1">
        <v>0</v>
      </c>
      <c r="J26" s="1">
        <f t="shared" si="3"/>
        <v>1754247.02</v>
      </c>
      <c r="M26" s="1">
        <f t="shared" si="1"/>
        <v>1754247.02</v>
      </c>
      <c r="O26" s="4">
        <f>1754247.02-M26</f>
        <v>0</v>
      </c>
    </row>
    <row r="27" spans="1:15" x14ac:dyDescent="0.4">
      <c r="A27" s="9"/>
      <c r="B27" s="9"/>
      <c r="C27" s="9" t="s">
        <v>80</v>
      </c>
      <c r="D27" s="5">
        <v>1494433.31</v>
      </c>
      <c r="E27" s="11">
        <v>0</v>
      </c>
      <c r="H27" s="1">
        <v>0</v>
      </c>
      <c r="J27" s="1">
        <f t="shared" si="3"/>
        <v>1494433.31</v>
      </c>
      <c r="M27" s="1">
        <f t="shared" si="1"/>
        <v>1494433.31</v>
      </c>
    </row>
    <row r="28" spans="1:15" x14ac:dyDescent="0.4">
      <c r="A28" s="9"/>
      <c r="B28" s="9"/>
      <c r="C28" s="9" t="s">
        <v>19</v>
      </c>
      <c r="D28" s="16">
        <f t="shared" ref="D28:J28" si="4">SUM(D21:D27)</f>
        <v>45974994.009999998</v>
      </c>
      <c r="E28" s="16">
        <f t="shared" si="4"/>
        <v>456490.33999999997</v>
      </c>
      <c r="F28" s="16">
        <f t="shared" si="4"/>
        <v>137281.69</v>
      </c>
      <c r="G28" s="16">
        <f t="shared" si="4"/>
        <v>24900161.140000001</v>
      </c>
      <c r="H28" s="16">
        <f t="shared" si="4"/>
        <v>0</v>
      </c>
      <c r="I28" s="16">
        <f t="shared" si="4"/>
        <v>0</v>
      </c>
      <c r="J28" s="16">
        <f t="shared" si="4"/>
        <v>71468927.179999992</v>
      </c>
      <c r="M28" s="16">
        <f>SUM(M21:M27)</f>
        <v>37730648.520000003</v>
      </c>
    </row>
    <row r="29" spans="1:15" ht="18.75" thickBot="1" x14ac:dyDescent="0.45">
      <c r="A29" s="9" t="s">
        <v>47</v>
      </c>
      <c r="B29" s="9"/>
      <c r="C29" s="9"/>
      <c r="D29" s="19">
        <f t="shared" ref="D29:J29" si="5">+D28+D19</f>
        <v>416646689.54999995</v>
      </c>
      <c r="E29" s="19">
        <f t="shared" si="5"/>
        <v>19737913.990000002</v>
      </c>
      <c r="F29" s="19">
        <f t="shared" si="5"/>
        <v>246968.49</v>
      </c>
      <c r="G29" s="19">
        <f t="shared" si="5"/>
        <v>24972542.920000002</v>
      </c>
      <c r="H29" s="19">
        <f t="shared" si="5"/>
        <v>8758347.5</v>
      </c>
      <c r="I29" s="19">
        <f t="shared" si="5"/>
        <v>1144397.81</v>
      </c>
      <c r="J29" s="19">
        <f t="shared" si="5"/>
        <v>471506860.25999999</v>
      </c>
      <c r="M29" s="19">
        <f>+M28+M19</f>
        <v>428768323.95999998</v>
      </c>
    </row>
    <row r="30" spans="1:15" ht="18.75" thickTop="1" x14ac:dyDescent="0.4">
      <c r="A30" s="9" t="s">
        <v>48</v>
      </c>
      <c r="B30" s="9"/>
      <c r="C30" s="9"/>
      <c r="D30" s="11"/>
      <c r="E30" s="11"/>
    </row>
    <row r="31" spans="1:15" x14ac:dyDescent="0.4">
      <c r="A31" s="9"/>
      <c r="B31" s="9" t="s">
        <v>78</v>
      </c>
      <c r="C31" s="9"/>
      <c r="D31" s="11"/>
      <c r="E31" s="11"/>
      <c r="J31" s="1">
        <f t="shared" ref="J31:J39" si="6">+I31+H31+G31+F31+E31+D31</f>
        <v>0</v>
      </c>
      <c r="M31" s="1">
        <f t="shared" si="1"/>
        <v>0</v>
      </c>
    </row>
    <row r="32" spans="1:15" x14ac:dyDescent="0.4">
      <c r="A32" s="9"/>
      <c r="B32" s="9" t="s">
        <v>82</v>
      </c>
      <c r="C32" s="9"/>
      <c r="D32" s="11"/>
      <c r="E32" s="68">
        <v>-85088.98</v>
      </c>
      <c r="F32" s="62">
        <v>-2456075.3199999998</v>
      </c>
      <c r="G32" s="69">
        <v>-2094887.81</v>
      </c>
      <c r="J32" s="1">
        <f t="shared" si="6"/>
        <v>-4636052.1100000003</v>
      </c>
      <c r="L32" s="1">
        <v>4636052.1100000003</v>
      </c>
      <c r="M32" s="1">
        <f t="shared" si="1"/>
        <v>0</v>
      </c>
    </row>
    <row r="33" spans="1:15" x14ac:dyDescent="0.4">
      <c r="A33" s="9"/>
      <c r="B33" s="9" t="s">
        <v>83</v>
      </c>
      <c r="C33" s="9"/>
      <c r="D33" s="11"/>
      <c r="E33" s="11"/>
      <c r="J33" s="1">
        <f t="shared" si="6"/>
        <v>0</v>
      </c>
      <c r="M33" s="1">
        <f t="shared" si="1"/>
        <v>0</v>
      </c>
    </row>
    <row r="34" spans="1:15" x14ac:dyDescent="0.4">
      <c r="A34" s="9"/>
      <c r="B34" s="9" t="s">
        <v>49</v>
      </c>
      <c r="C34" s="9"/>
      <c r="D34" s="11"/>
      <c r="E34" s="11"/>
      <c r="J34" s="1">
        <f t="shared" si="6"/>
        <v>0</v>
      </c>
      <c r="M34" s="1">
        <f t="shared" si="1"/>
        <v>0</v>
      </c>
    </row>
    <row r="35" spans="1:15" x14ac:dyDescent="0.4">
      <c r="A35" s="9"/>
      <c r="B35" s="9"/>
      <c r="C35" s="9" t="s">
        <v>88</v>
      </c>
      <c r="D35" s="11">
        <v>-7229144</v>
      </c>
      <c r="E35" s="11"/>
      <c r="J35" s="1">
        <f t="shared" si="6"/>
        <v>-7229144</v>
      </c>
      <c r="M35" s="1">
        <f t="shared" si="1"/>
        <v>-7229144</v>
      </c>
    </row>
    <row r="36" spans="1:15" x14ac:dyDescent="0.4">
      <c r="A36" s="9"/>
      <c r="B36" s="9"/>
      <c r="C36" s="9" t="s">
        <v>11</v>
      </c>
      <c r="D36" s="11">
        <v>-2880868.96</v>
      </c>
      <c r="E36" s="11">
        <f>-371365.7-1002625+92587.07-27500</f>
        <v>-1308903.6299999999</v>
      </c>
      <c r="F36" s="1">
        <f>-401885-27500</f>
        <v>-429385</v>
      </c>
      <c r="G36" s="2">
        <v>-27500</v>
      </c>
      <c r="J36" s="1">
        <f>+I36+H36+G36+F36+E36+D36</f>
        <v>-4646657.59</v>
      </c>
      <c r="K36" s="58" t="s">
        <v>85</v>
      </c>
      <c r="L36" s="1">
        <v>90000</v>
      </c>
      <c r="M36" s="1">
        <f t="shared" si="1"/>
        <v>-4556657.59</v>
      </c>
    </row>
    <row r="37" spans="1:15" x14ac:dyDescent="0.4">
      <c r="A37" s="9"/>
      <c r="B37" s="9"/>
      <c r="C37" s="9" t="s">
        <v>26</v>
      </c>
      <c r="D37" s="11"/>
      <c r="E37" s="11">
        <v>0</v>
      </c>
      <c r="F37" s="1">
        <v>0</v>
      </c>
      <c r="G37" s="2">
        <v>0</v>
      </c>
      <c r="J37" s="1">
        <f t="shared" si="6"/>
        <v>0</v>
      </c>
      <c r="M37" s="1">
        <f t="shared" si="1"/>
        <v>0</v>
      </c>
    </row>
    <row r="38" spans="1:15" x14ac:dyDescent="0.4">
      <c r="A38" s="9"/>
      <c r="B38" s="9"/>
      <c r="C38" s="9" t="s">
        <v>12</v>
      </c>
      <c r="D38" s="11">
        <f>-13204842.35-0.01</f>
        <v>-13204842.359999999</v>
      </c>
      <c r="E38" s="11">
        <f>-4614429.72+150730.5--300787.5</f>
        <v>-4162911.7199999997</v>
      </c>
      <c r="F38" s="1">
        <v>0</v>
      </c>
      <c r="G38" s="2">
        <v>0</v>
      </c>
      <c r="J38" s="1">
        <f t="shared" si="6"/>
        <v>-17367754.079999998</v>
      </c>
      <c r="M38" s="1">
        <f t="shared" si="1"/>
        <v>-17367754.079999998</v>
      </c>
    </row>
    <row r="39" spans="1:15" x14ac:dyDescent="0.4">
      <c r="A39" s="9"/>
      <c r="B39" s="9"/>
      <c r="C39" s="9" t="s">
        <v>43</v>
      </c>
      <c r="D39" s="5">
        <v>-5637669.7599999998</v>
      </c>
      <c r="E39" s="11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1">
        <f t="shared" si="6"/>
        <v>-5983125.4899999993</v>
      </c>
      <c r="M39" s="1">
        <f t="shared" si="1"/>
        <v>-5983125.4899999993</v>
      </c>
      <c r="O39" s="4">
        <f>5983125.49+M39</f>
        <v>0</v>
      </c>
    </row>
    <row r="40" spans="1:15" x14ac:dyDescent="0.4">
      <c r="A40" s="9"/>
      <c r="B40" s="9"/>
      <c r="C40" s="9" t="s">
        <v>20</v>
      </c>
      <c r="D40" s="16">
        <f>SUM(D31:D39)</f>
        <v>-28952525.079999998</v>
      </c>
      <c r="E40" s="16">
        <f>SUM(E31:E39)</f>
        <v>-5692798.9299999997</v>
      </c>
      <c r="F40" s="16">
        <f t="shared" ref="F40:M40" si="7">SUM(F31:F39)</f>
        <v>-3000239.17</v>
      </c>
      <c r="G40" s="16">
        <f t="shared" si="7"/>
        <v>-2217170.09</v>
      </c>
      <c r="H40" s="16">
        <f t="shared" si="7"/>
        <v>0</v>
      </c>
      <c r="I40" s="16">
        <f t="shared" si="7"/>
        <v>0</v>
      </c>
      <c r="J40" s="16">
        <f t="shared" si="7"/>
        <v>-39862733.270000003</v>
      </c>
      <c r="L40" s="17"/>
      <c r="M40" s="16">
        <f t="shared" si="7"/>
        <v>-35136681.159999996</v>
      </c>
    </row>
    <row r="41" spans="1:15" x14ac:dyDescent="0.4">
      <c r="A41" s="9" t="s">
        <v>50</v>
      </c>
      <c r="B41" s="9"/>
      <c r="C41" s="9"/>
      <c r="D41" s="11"/>
      <c r="E41" s="11"/>
    </row>
    <row r="42" spans="1:15" x14ac:dyDescent="0.4">
      <c r="A42" s="9"/>
      <c r="B42" s="9" t="s">
        <v>0</v>
      </c>
      <c r="C42" s="9"/>
      <c r="D42" s="11"/>
      <c r="E42" s="1"/>
      <c r="H42" s="1">
        <v>0</v>
      </c>
      <c r="J42" s="1">
        <f>+I42+H42+G42+F42+E42+D42</f>
        <v>0</v>
      </c>
      <c r="M42" s="1">
        <f t="shared" si="1"/>
        <v>0</v>
      </c>
    </row>
    <row r="43" spans="1:15" x14ac:dyDescent="0.4">
      <c r="A43" s="9"/>
      <c r="B43" s="9"/>
      <c r="C43" s="9" t="s">
        <v>43</v>
      </c>
      <c r="D43" s="46">
        <v>-1662591.75</v>
      </c>
      <c r="E43" s="11"/>
      <c r="H43" s="1">
        <v>0</v>
      </c>
      <c r="J43" s="1">
        <f>+I43+H43+G43+F43+E43+D43</f>
        <v>-1662591.75</v>
      </c>
      <c r="K43" s="58" t="s">
        <v>110</v>
      </c>
      <c r="L43" s="1">
        <v>1662591.75</v>
      </c>
      <c r="M43" s="62">
        <f t="shared" si="1"/>
        <v>0</v>
      </c>
    </row>
    <row r="44" spans="1:15" x14ac:dyDescent="0.4">
      <c r="A44" s="9"/>
      <c r="B44" s="9"/>
      <c r="C44" s="9" t="s">
        <v>21</v>
      </c>
      <c r="D44" s="16">
        <f t="shared" ref="D44:J44" si="8">SUM(D42:D43)</f>
        <v>-1662591.75</v>
      </c>
      <c r="E44" s="16">
        <f t="shared" si="8"/>
        <v>0</v>
      </c>
      <c r="F44" s="16">
        <f t="shared" si="8"/>
        <v>0</v>
      </c>
      <c r="G44" s="16">
        <f t="shared" si="8"/>
        <v>0</v>
      </c>
      <c r="H44" s="16">
        <f t="shared" si="8"/>
        <v>0</v>
      </c>
      <c r="I44" s="16">
        <f t="shared" si="8"/>
        <v>0</v>
      </c>
      <c r="J44" s="16">
        <f t="shared" si="8"/>
        <v>-1662591.75</v>
      </c>
      <c r="M44" s="16">
        <f>SUM(M42:M43)</f>
        <v>0</v>
      </c>
    </row>
    <row r="45" spans="1:15" ht="18.75" thickBot="1" x14ac:dyDescent="0.45">
      <c r="A45" s="9"/>
      <c r="B45" s="9"/>
      <c r="C45" s="9" t="s">
        <v>22</v>
      </c>
      <c r="D45" s="19">
        <f t="shared" ref="D45:J45" si="9">+D44+D40</f>
        <v>-30615116.829999998</v>
      </c>
      <c r="E45" s="19">
        <f t="shared" si="9"/>
        <v>-5692798.9299999997</v>
      </c>
      <c r="F45" s="19">
        <f t="shared" si="9"/>
        <v>-3000239.17</v>
      </c>
      <c r="G45" s="19">
        <f t="shared" si="9"/>
        <v>-2217170.09</v>
      </c>
      <c r="H45" s="19">
        <f t="shared" si="9"/>
        <v>0</v>
      </c>
      <c r="I45" s="19">
        <f t="shared" si="9"/>
        <v>0</v>
      </c>
      <c r="J45" s="19">
        <f t="shared" si="9"/>
        <v>-41525325.020000003</v>
      </c>
      <c r="M45" s="19">
        <f>+M44+M40</f>
        <v>-35136681.159999996</v>
      </c>
    </row>
    <row r="46" spans="1:15" ht="18.75" thickTop="1" x14ac:dyDescent="0.4">
      <c r="A46" s="9" t="s">
        <v>51</v>
      </c>
      <c r="B46" s="9"/>
      <c r="C46" s="9"/>
      <c r="D46" s="11"/>
      <c r="E46" s="11"/>
    </row>
    <row r="47" spans="1:15" x14ac:dyDescent="0.4">
      <c r="A47" s="9"/>
      <c r="B47" s="9" t="s">
        <v>68</v>
      </c>
      <c r="C47" s="40"/>
      <c r="D47" s="11">
        <v>-362267781.5</v>
      </c>
      <c r="E47" s="11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1">
        <f t="shared" ref="J47:J58" si="10">+I47+H47+G47+F47+E47+D47</f>
        <v>-429199781.5</v>
      </c>
      <c r="K47" s="58" t="s">
        <v>87</v>
      </c>
      <c r="L47" s="1">
        <v>56419678</v>
      </c>
      <c r="M47" s="1">
        <f>+L47+J47+L48</f>
        <v>-362267781.5</v>
      </c>
    </row>
    <row r="48" spans="1:15" x14ac:dyDescent="0.4">
      <c r="A48" s="9"/>
      <c r="B48" s="9" t="s">
        <v>23</v>
      </c>
      <c r="C48" s="37"/>
      <c r="D48" s="11"/>
      <c r="E48" s="11"/>
      <c r="J48" s="1">
        <f t="shared" si="10"/>
        <v>0</v>
      </c>
      <c r="K48" s="58" t="s">
        <v>111</v>
      </c>
      <c r="L48" s="1">
        <f>425+5001000+4294+4326700+1179903</f>
        <v>10512322</v>
      </c>
    </row>
    <row r="49" spans="1:16" x14ac:dyDescent="0.4">
      <c r="A49" s="9"/>
      <c r="B49" s="9" t="s">
        <v>56</v>
      </c>
      <c r="C49" s="37"/>
      <c r="D49" s="11">
        <f>-28397546.2+67118444.17</f>
        <v>38720897.969999999</v>
      </c>
      <c r="E49" s="11"/>
      <c r="J49" s="1">
        <f t="shared" si="10"/>
        <v>38720897.969999999</v>
      </c>
      <c r="M49" s="1">
        <f t="shared" si="1"/>
        <v>38720897.969999999</v>
      </c>
    </row>
    <row r="50" spans="1:16" x14ac:dyDescent="0.4">
      <c r="A50" s="9"/>
      <c r="B50" s="9" t="s">
        <v>57</v>
      </c>
      <c r="C50" s="37"/>
      <c r="D50" s="11"/>
      <c r="E50" s="11"/>
      <c r="H50" s="1">
        <v>111655.85</v>
      </c>
      <c r="I50" s="1">
        <v>38737.33</v>
      </c>
      <c r="J50" s="1">
        <f t="shared" si="10"/>
        <v>150393.18</v>
      </c>
      <c r="M50" s="1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9"/>
      <c r="B51" s="9" t="s">
        <v>108</v>
      </c>
      <c r="C51" s="37"/>
      <c r="D51" s="46">
        <f>-22681399.34+23463363.08</f>
        <v>781963.73999999836</v>
      </c>
      <c r="E51" s="11"/>
      <c r="J51" s="1">
        <f t="shared" si="10"/>
        <v>781963.73999999836</v>
      </c>
      <c r="K51" s="65" t="s">
        <v>109</v>
      </c>
      <c r="L51" s="64">
        <f>-1250375-21431024.34</f>
        <v>-22681399.34</v>
      </c>
      <c r="M51" s="63">
        <f>+J51+L51+L52+L53</f>
        <v>0</v>
      </c>
    </row>
    <row r="52" spans="1:16" x14ac:dyDescent="0.4">
      <c r="A52" s="9"/>
      <c r="B52" s="9"/>
      <c r="C52" s="37"/>
      <c r="D52" s="11"/>
      <c r="E52" s="11"/>
      <c r="K52" s="70" t="s">
        <v>110</v>
      </c>
      <c r="L52" s="71"/>
    </row>
    <row r="53" spans="1:16" x14ac:dyDescent="0.4">
      <c r="A53" s="9"/>
      <c r="B53" s="9"/>
      <c r="C53" s="37"/>
      <c r="D53" s="11"/>
      <c r="E53" s="11"/>
      <c r="K53" s="66" t="s">
        <v>114</v>
      </c>
      <c r="L53" s="67">
        <v>21899435.600000001</v>
      </c>
    </row>
    <row r="54" spans="1:16" x14ac:dyDescent="0.4">
      <c r="A54" s="9"/>
      <c r="B54" s="9" t="s">
        <v>58</v>
      </c>
      <c r="C54" s="9"/>
      <c r="D54" s="11"/>
      <c r="E54" s="11"/>
      <c r="J54" s="1">
        <f t="shared" si="10"/>
        <v>0</v>
      </c>
      <c r="M54" s="1">
        <f t="shared" si="1"/>
        <v>0</v>
      </c>
    </row>
    <row r="55" spans="1:16" x14ac:dyDescent="0.4">
      <c r="A55" s="9"/>
      <c r="B55" s="9"/>
      <c r="C55" s="9" t="s">
        <v>35</v>
      </c>
      <c r="D55" s="12">
        <v>-2962180.66</v>
      </c>
      <c r="E55" s="12"/>
      <c r="J55" s="1">
        <f t="shared" si="10"/>
        <v>-2962180.66</v>
      </c>
      <c r="M55" s="1">
        <f t="shared" si="1"/>
        <v>-2962180.66</v>
      </c>
    </row>
    <row r="56" spans="1:16" x14ac:dyDescent="0.4">
      <c r="A56" s="9"/>
      <c r="B56" s="9"/>
      <c r="C56" s="9" t="s">
        <v>116</v>
      </c>
      <c r="D56" s="76">
        <f>+D89</f>
        <v>-4023039.7100000009</v>
      </c>
      <c r="E56" s="12">
        <f>+E89</f>
        <v>-9262083.7899999991</v>
      </c>
      <c r="F56" s="12">
        <f>+F89</f>
        <v>1090678.93</v>
      </c>
      <c r="G56" s="12">
        <f>+G89</f>
        <v>1566605.83</v>
      </c>
      <c r="H56" s="12">
        <f>H89</f>
        <v>-40003.350000000006</v>
      </c>
      <c r="I56" s="12">
        <f>+I89</f>
        <v>-271135.14</v>
      </c>
      <c r="J56" s="63">
        <f t="shared" si="10"/>
        <v>-10938977.23</v>
      </c>
      <c r="K56" s="54" t="s">
        <v>124</v>
      </c>
      <c r="L56" s="1">
        <f>+L89</f>
        <v>-525007.16</v>
      </c>
      <c r="M56" s="79">
        <f>+L56+J56</f>
        <v>-11463984.390000001</v>
      </c>
    </row>
    <row r="57" spans="1:16" x14ac:dyDescent="0.4">
      <c r="A57" s="9"/>
      <c r="B57" s="9"/>
      <c r="C57" s="9"/>
      <c r="D57" s="12"/>
      <c r="E57" s="12"/>
      <c r="F57" s="12"/>
      <c r="G57" s="12"/>
      <c r="H57" s="12"/>
      <c r="I57" s="59"/>
      <c r="K57" s="65" t="s">
        <v>114</v>
      </c>
      <c r="L57" s="60">
        <f>-(+E58+F58+G58+H58+I58)</f>
        <v>-29747581.820000004</v>
      </c>
    </row>
    <row r="58" spans="1:16" x14ac:dyDescent="0.4">
      <c r="A58" s="9"/>
      <c r="B58" s="9"/>
      <c r="C58" s="9" t="s">
        <v>115</v>
      </c>
      <c r="D58" s="77">
        <v>-56281432.560000002</v>
      </c>
      <c r="E58" s="23">
        <f>-533031.27</f>
        <v>-533031.27</v>
      </c>
      <c r="F58" s="49">
        <f>11662591.75</f>
        <v>11662591.75</v>
      </c>
      <c r="G58" s="53">
        <f>20184627.17-G56</f>
        <v>18618021.340000004</v>
      </c>
      <c r="H58" s="49">
        <v>0</v>
      </c>
      <c r="I58" s="49">
        <v>0</v>
      </c>
      <c r="J58" s="63">
        <f t="shared" si="10"/>
        <v>-26533850.739999998</v>
      </c>
      <c r="L58" s="32"/>
      <c r="M58" s="78">
        <f>+L58+J58+L57</f>
        <v>-56281432.560000002</v>
      </c>
    </row>
    <row r="59" spans="1:16" x14ac:dyDescent="0.4">
      <c r="A59" s="9"/>
      <c r="B59" s="9"/>
      <c r="C59" s="9" t="s">
        <v>36</v>
      </c>
      <c r="D59" s="11">
        <f>SUM(D47:D58)</f>
        <v>-386031572.71999997</v>
      </c>
      <c r="E59" s="11">
        <f t="shared" ref="E59:J59" si="11">SUM(E47:E58)</f>
        <v>-14045115.059999999</v>
      </c>
      <c r="F59" s="11">
        <f t="shared" si="11"/>
        <v>2753270.6799999997</v>
      </c>
      <c r="G59" s="11">
        <f t="shared" si="11"/>
        <v>-22755372.829999998</v>
      </c>
      <c r="H59" s="11">
        <f t="shared" si="11"/>
        <v>-8758347.5</v>
      </c>
      <c r="I59" s="11">
        <f t="shared" si="11"/>
        <v>-1144397.81</v>
      </c>
      <c r="J59" s="11">
        <f t="shared" si="11"/>
        <v>-429981535.24000001</v>
      </c>
      <c r="M59" s="11">
        <f>SUM(M47:M58)</f>
        <v>-394104087.95999998</v>
      </c>
    </row>
    <row r="60" spans="1:16" x14ac:dyDescent="0.4">
      <c r="A60" s="9"/>
      <c r="B60" s="9" t="s">
        <v>2</v>
      </c>
      <c r="C60" s="9"/>
      <c r="D60" s="17"/>
      <c r="E60" s="17"/>
      <c r="F60" s="17"/>
      <c r="G60" s="17"/>
      <c r="H60" s="17"/>
      <c r="I60" s="17"/>
      <c r="J60" s="17"/>
      <c r="K60" s="58" t="s">
        <v>111</v>
      </c>
      <c r="L60" s="1">
        <f>-L48</f>
        <v>-10512322</v>
      </c>
      <c r="M60" s="1">
        <f>+J60+L60+L61+L65+L64+L63+L62</f>
        <v>472445.15999999968</v>
      </c>
    </row>
    <row r="61" spans="1:16" x14ac:dyDescent="0.4">
      <c r="A61" s="9"/>
      <c r="B61" s="9"/>
      <c r="C61" s="9"/>
      <c r="D61" s="23"/>
      <c r="E61" s="23"/>
      <c r="F61" s="23"/>
      <c r="G61" s="23"/>
      <c r="H61" s="23"/>
      <c r="I61" s="23"/>
      <c r="J61" s="23"/>
      <c r="K61" s="70" t="s">
        <v>117</v>
      </c>
      <c r="L61" s="1">
        <v>7848146.2199999997</v>
      </c>
    </row>
    <row r="62" spans="1:16" x14ac:dyDescent="0.4">
      <c r="A62" s="9"/>
      <c r="B62" s="9"/>
      <c r="C62" s="9"/>
      <c r="D62" s="17"/>
      <c r="E62" s="17"/>
      <c r="F62" s="17"/>
      <c r="G62" s="17"/>
      <c r="H62" s="17"/>
      <c r="I62" s="17"/>
      <c r="J62" s="17"/>
      <c r="K62" s="58" t="str">
        <f>+K43</f>
        <v>5)AJE ประมาณการชาดทุน</v>
      </c>
      <c r="L62" s="1">
        <f>-L43</f>
        <v>-1662591.75</v>
      </c>
    </row>
    <row r="63" spans="1:16" x14ac:dyDescent="0.4">
      <c r="A63" s="9"/>
      <c r="B63" s="9"/>
      <c r="C63" s="9"/>
      <c r="D63" s="17"/>
      <c r="E63" s="17"/>
      <c r="F63" s="17"/>
      <c r="G63" s="17"/>
      <c r="H63" s="17"/>
      <c r="I63" s="17"/>
      <c r="J63" s="17"/>
      <c r="K63" s="54" t="s">
        <v>130</v>
      </c>
      <c r="L63" s="1">
        <f>-L10</f>
        <v>4274821.25</v>
      </c>
    </row>
    <row r="64" spans="1:16" x14ac:dyDescent="0.4">
      <c r="A64" s="9"/>
      <c r="B64" s="9"/>
      <c r="C64" s="9"/>
      <c r="D64" s="17"/>
      <c r="E64" s="17"/>
      <c r="F64" s="17"/>
      <c r="G64" s="17"/>
      <c r="H64" s="17"/>
      <c r="I64" s="17"/>
      <c r="J64" s="17"/>
      <c r="K64" s="70"/>
      <c r="L64" s="1">
        <f>-L18</f>
        <v>-615.72</v>
      </c>
    </row>
    <row r="65" spans="1:15" x14ac:dyDescent="0.4">
      <c r="A65" s="9"/>
      <c r="B65" s="9"/>
      <c r="C65" s="9" t="s">
        <v>24</v>
      </c>
      <c r="D65" s="11">
        <f t="shared" ref="D65:J65" si="12">+D60+D59</f>
        <v>-386031572.71999997</v>
      </c>
      <c r="E65" s="11">
        <f t="shared" si="12"/>
        <v>-14045115.059999999</v>
      </c>
      <c r="F65" s="11">
        <f t="shared" si="12"/>
        <v>2753270.6799999997</v>
      </c>
      <c r="G65" s="11">
        <f t="shared" si="12"/>
        <v>-22755372.829999998</v>
      </c>
      <c r="H65" s="11">
        <f t="shared" si="12"/>
        <v>-8758347.5</v>
      </c>
      <c r="I65" s="11">
        <f t="shared" si="12"/>
        <v>-1144397.81</v>
      </c>
      <c r="J65" s="11">
        <f t="shared" si="12"/>
        <v>-429981535.24000001</v>
      </c>
      <c r="K65" s="61" t="s">
        <v>119</v>
      </c>
      <c r="L65" s="1">
        <f>-L88</f>
        <v>525007.16</v>
      </c>
      <c r="M65" s="11">
        <f>+M60+M59</f>
        <v>-393631642.79999995</v>
      </c>
    </row>
    <row r="66" spans="1:15" ht="18.75" thickBot="1" x14ac:dyDescent="0.45">
      <c r="A66" s="9" t="s">
        <v>38</v>
      </c>
      <c r="B66" s="9"/>
      <c r="C66" s="9"/>
      <c r="D66" s="19">
        <f t="shared" ref="D66:J66" si="13">+D65+D45</f>
        <v>-416646689.54999995</v>
      </c>
      <c r="E66" s="19">
        <f t="shared" si="13"/>
        <v>-19737913.989999998</v>
      </c>
      <c r="F66" s="19">
        <f t="shared" si="13"/>
        <v>-246968.49000000022</v>
      </c>
      <c r="G66" s="19">
        <f t="shared" si="13"/>
        <v>-24972542.919999998</v>
      </c>
      <c r="H66" s="19">
        <f t="shared" si="13"/>
        <v>-8758347.5</v>
      </c>
      <c r="I66" s="19">
        <f t="shared" si="13"/>
        <v>-1144397.81</v>
      </c>
      <c r="J66" s="19">
        <f t="shared" si="13"/>
        <v>-471506860.25999999</v>
      </c>
      <c r="M66" s="19">
        <f>+M65+M45</f>
        <v>-428768323.95999992</v>
      </c>
    </row>
    <row r="67" spans="1:15" ht="18.75" thickTop="1" x14ac:dyDescent="0.4">
      <c r="A67" s="9"/>
      <c r="B67" s="9"/>
      <c r="C67" s="9"/>
      <c r="D67" s="17">
        <f t="shared" ref="D67:J67" si="14">+D66+D29</f>
        <v>0</v>
      </c>
      <c r="E67" s="41">
        <f t="shared" si="14"/>
        <v>0</v>
      </c>
      <c r="F67" s="41">
        <f t="shared" si="14"/>
        <v>-2.3283064365386963E-10</v>
      </c>
      <c r="G67" s="41">
        <f t="shared" si="14"/>
        <v>0</v>
      </c>
      <c r="H67" s="41">
        <f t="shared" si="14"/>
        <v>0</v>
      </c>
      <c r="I67" s="41">
        <f t="shared" si="14"/>
        <v>0</v>
      </c>
      <c r="J67" s="41">
        <f t="shared" si="14"/>
        <v>0</v>
      </c>
      <c r="K67" s="57" t="s">
        <v>79</v>
      </c>
      <c r="L67" s="43">
        <f>SUM(L6:L66)</f>
        <v>0</v>
      </c>
      <c r="M67" s="41">
        <f>+M66+M29</f>
        <v>0</v>
      </c>
    </row>
    <row r="68" spans="1:15" x14ac:dyDescent="0.4">
      <c r="A68" s="9"/>
      <c r="B68" s="9"/>
      <c r="C68" s="10"/>
      <c r="D68" s="10"/>
      <c r="E68" s="10"/>
    </row>
    <row r="69" spans="1:15" ht="18" customHeight="1" x14ac:dyDescent="0.4">
      <c r="A69" s="47" t="s">
        <v>3</v>
      </c>
      <c r="B69" s="47"/>
      <c r="C69" s="47"/>
      <c r="D69" s="47"/>
      <c r="E69" s="47"/>
    </row>
    <row r="70" spans="1:15" x14ac:dyDescent="0.4">
      <c r="A70" s="9" t="s">
        <v>39</v>
      </c>
      <c r="B70" s="9"/>
      <c r="C70" s="9"/>
      <c r="D70" s="11"/>
      <c r="E70" s="11"/>
    </row>
    <row r="71" spans="1:15" x14ac:dyDescent="0.4">
      <c r="A71" s="9"/>
      <c r="B71" s="9" t="s">
        <v>59</v>
      </c>
      <c r="C71" s="9"/>
      <c r="D71" s="17">
        <v>-10893533.35</v>
      </c>
      <c r="E71" s="11">
        <v>-15052500</v>
      </c>
      <c r="F71" s="1">
        <v>0</v>
      </c>
      <c r="G71" s="2">
        <v>0</v>
      </c>
      <c r="H71" s="2">
        <v>0</v>
      </c>
      <c r="I71" s="2">
        <v>-300000</v>
      </c>
      <c r="J71" s="1">
        <f>+I71+H71+G71+F71+E71+D71</f>
        <v>-26246033.350000001</v>
      </c>
      <c r="K71" s="58" t="s">
        <v>86</v>
      </c>
      <c r="L71" s="1">
        <f>223380.11+234143.83+817793.77+265956</f>
        <v>1541273.71</v>
      </c>
      <c r="M71" s="1">
        <f t="shared" si="1"/>
        <v>-24704759.640000001</v>
      </c>
      <c r="O71" s="4">
        <f>24704759.64+M71</f>
        <v>0</v>
      </c>
    </row>
    <row r="72" spans="1:15" x14ac:dyDescent="0.4">
      <c r="A72" s="9"/>
      <c r="B72" s="9" t="s">
        <v>42</v>
      </c>
      <c r="C72" s="9"/>
      <c r="D72" s="11"/>
      <c r="E72" s="11"/>
      <c r="H72" s="2"/>
      <c r="I72" s="2"/>
      <c r="J72" s="1">
        <f>+I72+H72+G72+F72+E72+D72</f>
        <v>0</v>
      </c>
      <c r="M72" s="1">
        <f t="shared" si="1"/>
        <v>0</v>
      </c>
    </row>
    <row r="73" spans="1:15" x14ac:dyDescent="0.4">
      <c r="A73" s="9"/>
      <c r="B73" s="9"/>
      <c r="C73" s="9" t="s">
        <v>13</v>
      </c>
      <c r="D73" s="17">
        <v>-2818284.07</v>
      </c>
      <c r="E73" s="11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1">
        <f>+I73+H73+G73+F73+E73+D73</f>
        <v>-2929373.9099999997</v>
      </c>
      <c r="M73" s="1">
        <f t="shared" si="1"/>
        <v>-2929373.9099999997</v>
      </c>
      <c r="O73" s="4">
        <f>2929373.91+M73</f>
        <v>0</v>
      </c>
    </row>
    <row r="74" spans="1:15" x14ac:dyDescent="0.4">
      <c r="A74" s="9"/>
      <c r="B74" s="9"/>
      <c r="C74" s="9" t="s">
        <v>43</v>
      </c>
      <c r="D74" s="11">
        <v>-3426490.45</v>
      </c>
      <c r="E74" s="11">
        <v>0</v>
      </c>
      <c r="F74" s="1">
        <v>0</v>
      </c>
      <c r="G74" s="2">
        <v>0</v>
      </c>
      <c r="H74" s="2">
        <v>-63528.73</v>
      </c>
      <c r="I74" s="2"/>
      <c r="J74" s="1">
        <f>+I74+H74+G74+F74+E74+D74</f>
        <v>-3490019.18</v>
      </c>
      <c r="K74" s="58"/>
      <c r="M74" s="1">
        <f t="shared" si="1"/>
        <v>-3490019.18</v>
      </c>
      <c r="O74" s="4">
        <f>3490019.18+M74</f>
        <v>0</v>
      </c>
    </row>
    <row r="75" spans="1:15" x14ac:dyDescent="0.4">
      <c r="A75" s="9"/>
      <c r="B75" s="9" t="s">
        <v>5</v>
      </c>
      <c r="C75" s="9"/>
      <c r="D75" s="11"/>
      <c r="E75" s="11"/>
      <c r="H75" s="2"/>
      <c r="I75" s="2"/>
      <c r="J75" s="1">
        <f>+I75+H75+G75+F75+E75+D75</f>
        <v>0</v>
      </c>
      <c r="M75" s="1">
        <f t="shared" si="1"/>
        <v>0</v>
      </c>
    </row>
    <row r="76" spans="1:15" x14ac:dyDescent="0.4">
      <c r="A76" s="9"/>
      <c r="B76" s="9"/>
      <c r="C76" s="9" t="s">
        <v>14</v>
      </c>
      <c r="D76" s="16">
        <f t="shared" ref="D76:J76" si="15">SUM(D71:D75)</f>
        <v>-17138307.870000001</v>
      </c>
      <c r="E76" s="16">
        <f t="shared" si="15"/>
        <v>-15158110.43</v>
      </c>
      <c r="F76" s="16">
        <f t="shared" si="15"/>
        <v>0</v>
      </c>
      <c r="G76" s="16">
        <f t="shared" si="15"/>
        <v>0</v>
      </c>
      <c r="H76" s="16">
        <f t="shared" si="15"/>
        <v>-69007.570000000007</v>
      </c>
      <c r="I76" s="16">
        <f t="shared" si="15"/>
        <v>-300000.57</v>
      </c>
      <c r="J76" s="16">
        <f t="shared" si="15"/>
        <v>-32665426.440000001</v>
      </c>
      <c r="M76" s="16">
        <f>SUM(M71:M75)</f>
        <v>-31124152.73</v>
      </c>
      <c r="O76" s="4">
        <f>31124152.73+M76</f>
        <v>0</v>
      </c>
    </row>
    <row r="77" spans="1:15" x14ac:dyDescent="0.4">
      <c r="A77" s="9" t="s">
        <v>40</v>
      </c>
      <c r="B77" s="9"/>
      <c r="C77" s="9"/>
      <c r="D77" s="11"/>
      <c r="E77" s="11"/>
      <c r="H77" s="2"/>
      <c r="I77" s="2"/>
      <c r="J77" s="2"/>
      <c r="M77" s="1">
        <f t="shared" si="1"/>
        <v>0</v>
      </c>
    </row>
    <row r="78" spans="1:15" x14ac:dyDescent="0.4">
      <c r="A78" s="9"/>
      <c r="B78" s="9" t="s">
        <v>7</v>
      </c>
      <c r="C78" s="9"/>
      <c r="D78" s="11">
        <v>5248379.3499999996</v>
      </c>
      <c r="E78" s="11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1">
        <f>+I78+H78+G78+F78+E78+D78</f>
        <v>7350677.8999999994</v>
      </c>
      <c r="L78" s="1">
        <v>-602250</v>
      </c>
      <c r="M78" s="1">
        <f t="shared" si="1"/>
        <v>6748427.8999999994</v>
      </c>
      <c r="O78" s="4">
        <f>6748427.9-M78</f>
        <v>0</v>
      </c>
    </row>
    <row r="79" spans="1:15" x14ac:dyDescent="0.4">
      <c r="A79" s="9"/>
      <c r="B79" s="9" t="s">
        <v>25</v>
      </c>
      <c r="C79" s="9"/>
      <c r="D79" s="11">
        <v>7439667.2199999997</v>
      </c>
      <c r="E79" s="11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1">
        <f>+I79+H79+G79+F79+E79+D79</f>
        <v>9979085.2400000002</v>
      </c>
      <c r="K79" s="58" t="s">
        <v>86</v>
      </c>
      <c r="L79" s="1">
        <f>-(223380.11+234143.83+817793.77)-(265956)+602250</f>
        <v>-939023.71</v>
      </c>
      <c r="M79" s="1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9"/>
      <c r="B80" s="9" t="s">
        <v>60</v>
      </c>
      <c r="C80" s="9"/>
      <c r="D80" s="11"/>
      <c r="E80" s="11"/>
      <c r="F80" s="2"/>
      <c r="H80" s="2">
        <v>0</v>
      </c>
      <c r="I80" s="2"/>
      <c r="J80" s="1">
        <f>+I80+H80+G80+F80+E80+D80</f>
        <v>0</v>
      </c>
      <c r="M80" s="1">
        <f t="shared" si="16"/>
        <v>0</v>
      </c>
    </row>
    <row r="81" spans="1:15" x14ac:dyDescent="0.4">
      <c r="A81" s="9"/>
      <c r="B81" s="9" t="s">
        <v>61</v>
      </c>
      <c r="C81" s="9"/>
      <c r="D81" s="11">
        <v>338000</v>
      </c>
      <c r="E81" s="11">
        <v>0</v>
      </c>
      <c r="F81" s="2"/>
      <c r="H81" s="2">
        <v>0</v>
      </c>
      <c r="I81" s="2"/>
      <c r="J81" s="1">
        <f>+I81+H81+G81+F81+E81+D81</f>
        <v>338000</v>
      </c>
      <c r="M81" s="1">
        <f t="shared" si="16"/>
        <v>338000</v>
      </c>
      <c r="O81" s="74"/>
    </row>
    <row r="82" spans="1:15" x14ac:dyDescent="0.4">
      <c r="A82" s="9"/>
      <c r="B82" s="9"/>
      <c r="C82" s="9" t="s">
        <v>6</v>
      </c>
      <c r="D82" s="16">
        <f t="shared" ref="D82:J82" si="17">SUM(D78:D81)</f>
        <v>13026046.57</v>
      </c>
      <c r="E82" s="16">
        <f t="shared" si="17"/>
        <v>1926562.1600000001</v>
      </c>
      <c r="F82" s="16">
        <f t="shared" si="17"/>
        <v>1090678.93</v>
      </c>
      <c r="G82" s="16">
        <f t="shared" si="17"/>
        <v>1566605.83</v>
      </c>
      <c r="H82" s="16">
        <f t="shared" si="17"/>
        <v>29004.22</v>
      </c>
      <c r="I82" s="16">
        <f t="shared" si="17"/>
        <v>28865.43</v>
      </c>
      <c r="J82" s="16">
        <f t="shared" si="17"/>
        <v>17667763.140000001</v>
      </c>
      <c r="M82" s="72">
        <f>SUM(M78:M81)</f>
        <v>16126489.43</v>
      </c>
    </row>
    <row r="83" spans="1:15" x14ac:dyDescent="0.4">
      <c r="A83" s="9"/>
      <c r="B83" s="9"/>
      <c r="C83" s="9" t="s">
        <v>129</v>
      </c>
      <c r="D83" s="11"/>
      <c r="E83" s="80">
        <f>4270251.98-3969464.48</f>
        <v>300787.50000000047</v>
      </c>
      <c r="F83" s="11"/>
      <c r="G83" s="11"/>
      <c r="H83" s="11"/>
      <c r="I83" s="11"/>
      <c r="J83" s="11"/>
      <c r="M83" s="1">
        <f t="shared" si="16"/>
        <v>0</v>
      </c>
    </row>
    <row r="84" spans="1:15" x14ac:dyDescent="0.4">
      <c r="A84" s="9" t="s">
        <v>15</v>
      </c>
      <c r="B84" s="9"/>
      <c r="C84" s="9"/>
      <c r="D84" s="11">
        <f t="shared" ref="D84:J84" si="18">+D76+D82</f>
        <v>-4112261.3000000007</v>
      </c>
      <c r="E84" s="11">
        <f t="shared" si="18"/>
        <v>-13231548.27</v>
      </c>
      <c r="F84" s="11">
        <f t="shared" si="18"/>
        <v>1090678.93</v>
      </c>
      <c r="G84" s="11">
        <f t="shared" si="18"/>
        <v>1566605.83</v>
      </c>
      <c r="H84" s="11">
        <f t="shared" si="18"/>
        <v>-40003.350000000006</v>
      </c>
      <c r="I84" s="11">
        <f t="shared" si="18"/>
        <v>-271135.14</v>
      </c>
      <c r="J84" s="11">
        <f t="shared" si="18"/>
        <v>-14997663.300000001</v>
      </c>
      <c r="M84" s="1">
        <f t="shared" si="16"/>
        <v>-14997663.300000001</v>
      </c>
    </row>
    <row r="85" spans="1:15" x14ac:dyDescent="0.4">
      <c r="A85" s="9" t="s">
        <v>41</v>
      </c>
      <c r="B85" s="9"/>
      <c r="C85" s="9"/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">
        <f>+I85+H85+G85+F85+E85+D85</f>
        <v>0</v>
      </c>
      <c r="M85" s="1">
        <f t="shared" si="16"/>
        <v>0</v>
      </c>
    </row>
    <row r="86" spans="1:15" x14ac:dyDescent="0.4">
      <c r="A86" s="9" t="s">
        <v>16</v>
      </c>
      <c r="B86" s="9"/>
      <c r="C86" s="9"/>
      <c r="D86" s="23">
        <v>89221.59</v>
      </c>
      <c r="E86" s="34">
        <f>4270251.98-300787.5</f>
        <v>3969464.4800000004</v>
      </c>
      <c r="F86" s="34">
        <v>0</v>
      </c>
      <c r="G86" s="34">
        <v>0</v>
      </c>
      <c r="H86" s="34">
        <v>0</v>
      </c>
      <c r="I86" s="34">
        <v>0</v>
      </c>
      <c r="J86" s="49">
        <f>+I86+H86+G86+F86+E86+D86</f>
        <v>4058686.0700000003</v>
      </c>
      <c r="M86" s="49">
        <f t="shared" si="16"/>
        <v>4058686.0700000003</v>
      </c>
    </row>
    <row r="87" spans="1:15" x14ac:dyDescent="0.4">
      <c r="A87" s="9" t="s">
        <v>29</v>
      </c>
      <c r="B87" s="9"/>
      <c r="C87" s="9"/>
      <c r="D87" s="10">
        <f>SUM(D84:D86)</f>
        <v>-4023039.7100000009</v>
      </c>
      <c r="E87" s="10">
        <f t="shared" ref="E87:J87" si="19">SUM(E84:E86)</f>
        <v>-9262083.7899999991</v>
      </c>
      <c r="F87" s="10">
        <f t="shared" si="19"/>
        <v>1090678.93</v>
      </c>
      <c r="G87" s="10">
        <f t="shared" si="19"/>
        <v>1566605.83</v>
      </c>
      <c r="H87" s="10">
        <f t="shared" si="19"/>
        <v>-40003.350000000006</v>
      </c>
      <c r="I87" s="10">
        <f t="shared" si="19"/>
        <v>-271135.14</v>
      </c>
      <c r="J87" s="10">
        <f t="shared" si="19"/>
        <v>-10938977.23</v>
      </c>
      <c r="M87" s="1">
        <f>SUM(M84:M86)</f>
        <v>-10938977.23</v>
      </c>
    </row>
    <row r="88" spans="1:15" x14ac:dyDescent="0.4">
      <c r="A88" s="9" t="s">
        <v>37</v>
      </c>
      <c r="B88" s="9"/>
      <c r="C88" s="9"/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58" t="s">
        <v>123</v>
      </c>
      <c r="L88" s="1">
        <v>-525007.16</v>
      </c>
      <c r="M88" s="49">
        <f t="shared" si="16"/>
        <v>-525007.16</v>
      </c>
    </row>
    <row r="89" spans="1:15" ht="18.75" thickBot="1" x14ac:dyDescent="0.45">
      <c r="A89" s="9" t="s">
        <v>30</v>
      </c>
      <c r="B89" s="9"/>
      <c r="C89" s="9"/>
      <c r="D89" s="19">
        <f t="shared" ref="D89:J89" si="20">SUM(D87:D88)</f>
        <v>-4023039.7100000009</v>
      </c>
      <c r="E89" s="19">
        <f t="shared" si="20"/>
        <v>-9262083.7899999991</v>
      </c>
      <c r="F89" s="19">
        <f t="shared" si="20"/>
        <v>1090678.93</v>
      </c>
      <c r="G89" s="19">
        <f t="shared" si="20"/>
        <v>1566605.83</v>
      </c>
      <c r="H89" s="19">
        <f t="shared" si="20"/>
        <v>-40003.350000000006</v>
      </c>
      <c r="I89" s="19">
        <f t="shared" si="20"/>
        <v>-271135.14</v>
      </c>
      <c r="J89" s="19">
        <f t="shared" si="20"/>
        <v>-10938977.23</v>
      </c>
      <c r="L89" s="1">
        <f>+SUM(L71:L88)</f>
        <v>-525007.16</v>
      </c>
      <c r="M89" s="73">
        <f>SUM(M87:M88)</f>
        <v>-11463984.390000001</v>
      </c>
    </row>
    <row r="90" spans="1:15" ht="9.9499999999999993" customHeight="1" thickTop="1" x14ac:dyDescent="0.4">
      <c r="A90" s="9"/>
      <c r="B90" s="9"/>
      <c r="C90" s="9"/>
      <c r="D90" s="17"/>
      <c r="E90" s="17"/>
      <c r="F90" s="2"/>
      <c r="G90" s="17"/>
      <c r="H90" s="17"/>
      <c r="I90" s="2"/>
      <c r="J90" s="2"/>
      <c r="M90" s="1">
        <f t="shared" si="16"/>
        <v>0</v>
      </c>
    </row>
    <row r="91" spans="1:15" x14ac:dyDescent="0.4">
      <c r="M91" s="1">
        <f t="shared" si="16"/>
        <v>0</v>
      </c>
    </row>
    <row r="92" spans="1:15" x14ac:dyDescent="0.4">
      <c r="M92" s="1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BS_Q3-66</vt:lpstr>
      <vt:lpstr>PL_Q3-66</vt:lpstr>
      <vt:lpstr>Changed-Conso</vt:lpstr>
      <vt:lpstr>Changed-Com</vt:lpstr>
      <vt:lpstr>CashFlow</vt:lpstr>
      <vt:lpstr>Equity</vt:lpstr>
      <vt:lpstr>Conso_Q150</vt:lpstr>
      <vt:lpstr>CashFlow!OLE_LINK3</vt:lpstr>
      <vt:lpstr>'BS_Q3-66'!Print_Area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'PL_Q3-66'!Print_Area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2023-11-09T05:41:33Z</cp:lastPrinted>
  <dcterms:created xsi:type="dcterms:W3CDTF">2003-04-30T06:44:25Z</dcterms:created>
  <dcterms:modified xsi:type="dcterms:W3CDTF">2023-11-09T05:46:25Z</dcterms:modified>
</cp:coreProperties>
</file>