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UDITOR DOCUMENTS\Auditor Documents 2025\9.Draft AMT\Q1-2025 (AMT) Aey - 2025.05.15 (AMT) ออกเล่ม\"/>
    </mc:Choice>
  </mc:AlternateContent>
  <xr:revisionPtr revIDLastSave="0" documentId="13_ncr:1_{AE1A69A4-85E6-4DDC-9DB1-FDE97B4BF888}" xr6:coauthVersionLast="47" xr6:coauthVersionMax="47" xr10:uidLastSave="{00000000-0000-0000-0000-000000000000}"/>
  <bookViews>
    <workbookView xWindow="-120" yWindow="-120" windowWidth="29040" windowHeight="15720" tabRatio="847" xr2:uid="{00000000-000D-0000-FFFF-FFFF00000000}"/>
  </bookViews>
  <sheets>
    <sheet name="BS_Q1-68" sheetId="59" r:id="rId1"/>
    <sheet name="Changed-Conso" sheetId="60" r:id="rId2"/>
    <sheet name="Changed-Com" sheetId="61" r:id="rId3"/>
    <sheet name="PL_Q1-68" sheetId="58" r:id="rId4"/>
    <sheet name="CashFlow" sheetId="47" r:id="rId5"/>
    <sheet name="Equity" sheetId="57" state="hidden" r:id="rId6"/>
    <sheet name="Conso_Q150" sheetId="56" state="hidden" r:id="rId7"/>
  </sheets>
  <externalReferences>
    <externalReference r:id="rId8"/>
    <externalReference r:id="rId9"/>
    <externalReference r:id="rId10"/>
  </externalReferences>
  <definedNames>
    <definedName name="a" localSheetId="0">'[1]01043002'!$A$1:$P$1224</definedName>
    <definedName name="a">'[2]01043002'!$A$1:$P$1224</definedName>
    <definedName name="_xlnm.Database">#REF!</definedName>
    <definedName name="OLE_LINK3" localSheetId="4">CashFlow!$A$161</definedName>
    <definedName name="_xlnm.Print_Area" localSheetId="0">'BS_Q1-68'!$A$1:$L$152</definedName>
    <definedName name="_xlnm.Print_Area" localSheetId="4">CashFlow!$A$1:$M$114</definedName>
    <definedName name="_xlnm.Print_Area" localSheetId="2">'Changed-Com'!$A$1:$X$38</definedName>
    <definedName name="_xlnm.Print_Area" localSheetId="1">'Changed-Conso'!$A$1:$Z$39</definedName>
    <definedName name="_xlnm.Print_Area" localSheetId="6">Conso_Q150!$A$1:$M$92</definedName>
    <definedName name="_xlnm.Print_Area" localSheetId="5">Equity!$A$1:$G$42</definedName>
    <definedName name="_xlnm.Print_Area" localSheetId="3">'PL_Q1-68'!$A$1:$L$112</definedName>
    <definedName name="_xlnm.Print_Titles" localSheetId="4">CashFlow!$1:$9</definedName>
    <definedName name="_xlnm.Print_Titles" localSheetId="6">Conso_Q150!$1:$4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7" i="58" l="1"/>
  <c r="K24" i="47"/>
  <c r="G24" i="47"/>
  <c r="F40" i="58"/>
  <c r="J40" i="58"/>
  <c r="F29" i="58"/>
  <c r="J29" i="58"/>
  <c r="J43" i="59"/>
  <c r="F43" i="59"/>
  <c r="F22" i="59"/>
  <c r="J22" i="59"/>
  <c r="J18" i="59"/>
  <c r="F18" i="59"/>
  <c r="G16" i="47"/>
  <c r="K16" i="47"/>
  <c r="F37" i="58"/>
  <c r="J37" i="58"/>
  <c r="J34" i="59"/>
  <c r="F34" i="59"/>
  <c r="F22" i="58" l="1"/>
  <c r="F17" i="58"/>
  <c r="V29" i="61"/>
  <c r="I69" i="47" l="1"/>
  <c r="G76" i="47"/>
  <c r="K76" i="47"/>
  <c r="X29" i="61"/>
  <c r="K115" i="47" l="1"/>
  <c r="G115" i="47"/>
  <c r="X27" i="60" l="1"/>
  <c r="X32" i="60" s="1"/>
  <c r="F127" i="59" s="1"/>
  <c r="P27" i="60"/>
  <c r="R31" i="61"/>
  <c r="J123" i="59" s="1"/>
  <c r="P31" i="61"/>
  <c r="N31" i="61"/>
  <c r="L31" i="61"/>
  <c r="J31" i="61"/>
  <c r="H31" i="61"/>
  <c r="J121" i="59" s="1"/>
  <c r="F31" i="61"/>
  <c r="D31" i="61"/>
  <c r="J120" i="59" s="1"/>
  <c r="V27" i="61"/>
  <c r="X27" i="61" s="1"/>
  <c r="X22" i="61"/>
  <c r="R20" i="61"/>
  <c r="P20" i="61"/>
  <c r="N20" i="61"/>
  <c r="L20" i="61"/>
  <c r="J20" i="61"/>
  <c r="H20" i="61"/>
  <c r="F20" i="61"/>
  <c r="D20" i="61"/>
  <c r="V18" i="61"/>
  <c r="V16" i="61" s="1"/>
  <c r="T20" i="61"/>
  <c r="X13" i="61"/>
  <c r="A4" i="61"/>
  <c r="A3" i="61"/>
  <c r="L32" i="60"/>
  <c r="F123" i="59" s="1"/>
  <c r="AD32" i="60" s="1"/>
  <c r="J32" i="60"/>
  <c r="H32" i="60"/>
  <c r="F121" i="59" s="1"/>
  <c r="F32" i="60"/>
  <c r="D32" i="60"/>
  <c r="F120" i="59" s="1"/>
  <c r="R29" i="60"/>
  <c r="R32" i="60" s="1"/>
  <c r="T24" i="60"/>
  <c r="X22" i="60"/>
  <c r="L22" i="60"/>
  <c r="J22" i="60"/>
  <c r="H22" i="60"/>
  <c r="F22" i="60"/>
  <c r="D22" i="60"/>
  <c r="R19" i="60"/>
  <c r="P19" i="60"/>
  <c r="P22" i="60" s="1"/>
  <c r="T17" i="60"/>
  <c r="V17" i="60" s="1"/>
  <c r="T14" i="60"/>
  <c r="V14" i="60" s="1"/>
  <c r="Z14" i="60" s="1"/>
  <c r="T129" i="59"/>
  <c r="P129" i="59"/>
  <c r="L126" i="59"/>
  <c r="L128" i="59" s="1"/>
  <c r="H126" i="59"/>
  <c r="H128" i="59" s="1"/>
  <c r="L83" i="59"/>
  <c r="J83" i="59"/>
  <c r="H83" i="59"/>
  <c r="F83" i="59"/>
  <c r="L79" i="59"/>
  <c r="J79" i="59"/>
  <c r="H79" i="59"/>
  <c r="F79" i="59"/>
  <c r="H60" i="59"/>
  <c r="H112" i="59" s="1"/>
  <c r="F60" i="59"/>
  <c r="F112" i="59" s="1"/>
  <c r="A57" i="59"/>
  <c r="A109" i="59" s="1"/>
  <c r="L45" i="59"/>
  <c r="J45" i="59"/>
  <c r="H45" i="59"/>
  <c r="F45" i="59"/>
  <c r="L29" i="59"/>
  <c r="J29" i="59"/>
  <c r="H29" i="59"/>
  <c r="F29" i="59"/>
  <c r="L8" i="59"/>
  <c r="L60" i="59" s="1"/>
  <c r="L112" i="59" s="1"/>
  <c r="J8" i="59"/>
  <c r="J60" i="59" s="1"/>
  <c r="J112" i="59" s="1"/>
  <c r="P32" i="60" l="1"/>
  <c r="T27" i="60"/>
  <c r="V24" i="60"/>
  <c r="Z24" i="60" s="1"/>
  <c r="AB24" i="60" s="1"/>
  <c r="J84" i="59"/>
  <c r="F84" i="59"/>
  <c r="J46" i="59"/>
  <c r="L84" i="59"/>
  <c r="L129" i="59" s="1"/>
  <c r="F46" i="59"/>
  <c r="H84" i="59"/>
  <c r="H129" i="59" s="1"/>
  <c r="T19" i="60"/>
  <c r="T22" i="60" s="1"/>
  <c r="X16" i="61"/>
  <c r="X20" i="61" s="1"/>
  <c r="Y20" i="61" s="1"/>
  <c r="V20" i="61"/>
  <c r="T29" i="60"/>
  <c r="V31" i="61"/>
  <c r="Z17" i="60"/>
  <c r="R22" i="60"/>
  <c r="N19" i="60"/>
  <c r="N22" i="60" s="1"/>
  <c r="N29" i="60"/>
  <c r="X18" i="61"/>
  <c r="L46" i="59"/>
  <c r="H46" i="59"/>
  <c r="L153" i="59" l="1"/>
  <c r="T32" i="60"/>
  <c r="F125" i="59" s="1"/>
  <c r="V29" i="60"/>
  <c r="V19" i="60"/>
  <c r="Z19" i="60" s="1"/>
  <c r="Z22" i="60" s="1"/>
  <c r="H153" i="59"/>
  <c r="V22" i="60" l="1"/>
  <c r="Z29" i="60"/>
  <c r="H88" i="58" l="1"/>
  <c r="K8" i="47" l="1"/>
  <c r="J7" i="58" l="1"/>
  <c r="J69" i="58" s="1"/>
  <c r="M76" i="47" l="1"/>
  <c r="M69" i="47"/>
  <c r="I76" i="47"/>
  <c r="M9" i="47"/>
  <c r="L33" i="58" l="1"/>
  <c r="L23" i="58"/>
  <c r="L8" i="58"/>
  <c r="H33" i="58"/>
  <c r="H23" i="58"/>
  <c r="H35" i="58" l="1"/>
  <c r="H39" i="58" s="1"/>
  <c r="L35" i="58"/>
  <c r="L39" i="58" s="1"/>
  <c r="A91" i="58"/>
  <c r="L41" i="58" l="1"/>
  <c r="H41" i="58"/>
  <c r="H44" i="58" s="1"/>
  <c r="J33" i="58"/>
  <c r="F33" i="58"/>
  <c r="H53" i="58" l="1"/>
  <c r="I11" i="47"/>
  <c r="I26" i="47" s="1"/>
  <c r="I44" i="47" s="1"/>
  <c r="I48" i="47" s="1"/>
  <c r="I78" i="47" s="1"/>
  <c r="I80" i="47" s="1"/>
  <c r="L44" i="58"/>
  <c r="L49" i="58" s="1"/>
  <c r="M11" i="47"/>
  <c r="M26" i="47" s="1"/>
  <c r="M44" i="47" s="1"/>
  <c r="M48" i="47" s="1"/>
  <c r="M78" i="47" s="1"/>
  <c r="M80" i="47" s="1"/>
  <c r="L46" i="58" l="1"/>
  <c r="L53" i="58"/>
  <c r="H49" i="58"/>
  <c r="H46" i="58"/>
  <c r="K9" i="47" l="1"/>
  <c r="J8" i="58"/>
  <c r="J70" i="58" s="1"/>
  <c r="F23" i="58"/>
  <c r="F35" i="58" s="1"/>
  <c r="F39" i="58" s="1"/>
  <c r="L70" i="58"/>
  <c r="H70" i="58"/>
  <c r="F70" i="58"/>
  <c r="L82" i="58"/>
  <c r="J82" i="58"/>
  <c r="H82" i="58"/>
  <c r="F82" i="58"/>
  <c r="F69" i="58"/>
  <c r="J23" i="58"/>
  <c r="J35" i="58" s="1"/>
  <c r="J39" i="58" s="1"/>
  <c r="K69" i="47"/>
  <c r="G69" i="47"/>
  <c r="F88" i="58"/>
  <c r="A63" i="58"/>
  <c r="A65" i="58"/>
  <c r="J88" i="58"/>
  <c r="L88" i="58"/>
  <c r="J6" i="56"/>
  <c r="J7" i="56"/>
  <c r="J8" i="56"/>
  <c r="M8" i="56" s="1"/>
  <c r="J9" i="56"/>
  <c r="M9" i="56" s="1"/>
  <c r="H10" i="56"/>
  <c r="H19" i="56" s="1"/>
  <c r="H29" i="56" s="1"/>
  <c r="J11" i="56"/>
  <c r="M11" i="56" s="1"/>
  <c r="J12" i="56"/>
  <c r="M12" i="56" s="1"/>
  <c r="J13" i="56"/>
  <c r="M13" i="56" s="1"/>
  <c r="J14" i="56"/>
  <c r="M14" i="56" s="1"/>
  <c r="J15" i="56"/>
  <c r="M15" i="56" s="1"/>
  <c r="O15" i="56" s="1"/>
  <c r="E16" i="56"/>
  <c r="E19" i="56" s="1"/>
  <c r="E29" i="56" s="1"/>
  <c r="J16" i="56"/>
  <c r="M16" i="56" s="1"/>
  <c r="J17" i="56"/>
  <c r="M17" i="56" s="1"/>
  <c r="D18" i="56"/>
  <c r="D19" i="56" s="1"/>
  <c r="E18" i="56"/>
  <c r="F18" i="56"/>
  <c r="F19" i="56" s="1"/>
  <c r="G18" i="56"/>
  <c r="I19" i="56"/>
  <c r="J21" i="56"/>
  <c r="J22" i="56"/>
  <c r="J23" i="56"/>
  <c r="J24" i="56"/>
  <c r="M24" i="56" s="1"/>
  <c r="J25" i="56"/>
  <c r="M25" i="56" s="1"/>
  <c r="D26" i="56"/>
  <c r="J26" i="56" s="1"/>
  <c r="M26" i="56" s="1"/>
  <c r="J27" i="56"/>
  <c r="M27" i="56"/>
  <c r="E28" i="56"/>
  <c r="F28" i="56"/>
  <c r="G28" i="56"/>
  <c r="H28" i="56"/>
  <c r="I28" i="56"/>
  <c r="I29" i="56" s="1"/>
  <c r="J31" i="56"/>
  <c r="M31" i="56" s="1"/>
  <c r="J32" i="56"/>
  <c r="M32" i="56" s="1"/>
  <c r="J33" i="56"/>
  <c r="M33" i="56"/>
  <c r="J34" i="56"/>
  <c r="M34" i="56" s="1"/>
  <c r="J35" i="56"/>
  <c r="M35" i="56" s="1"/>
  <c r="E36" i="56"/>
  <c r="F36" i="56"/>
  <c r="J37" i="56"/>
  <c r="M37" i="56" s="1"/>
  <c r="D38" i="56"/>
  <c r="D40" i="56" s="1"/>
  <c r="D45" i="56" s="1"/>
  <c r="E38" i="56"/>
  <c r="E39" i="56"/>
  <c r="F39" i="56"/>
  <c r="G39" i="56"/>
  <c r="J39" i="56" s="1"/>
  <c r="H40" i="56"/>
  <c r="I40" i="56"/>
  <c r="J42" i="56"/>
  <c r="M42" i="56" s="1"/>
  <c r="J43" i="56"/>
  <c r="M43" i="56" s="1"/>
  <c r="D44" i="56"/>
  <c r="E44" i="56"/>
  <c r="F44" i="56"/>
  <c r="G44" i="56"/>
  <c r="H44" i="56"/>
  <c r="I44" i="56"/>
  <c r="J47" i="56"/>
  <c r="M47" i="56" s="1"/>
  <c r="L48" i="56"/>
  <c r="J48" i="56"/>
  <c r="D49" i="56"/>
  <c r="J49" i="56" s="1"/>
  <c r="M49" i="56" s="1"/>
  <c r="J50" i="56"/>
  <c r="M50" i="56" s="1"/>
  <c r="P50" i="56" s="1"/>
  <c r="D51" i="56"/>
  <c r="J51" i="56" s="1"/>
  <c r="L51" i="56"/>
  <c r="J54" i="56"/>
  <c r="M54" i="56" s="1"/>
  <c r="J55" i="56"/>
  <c r="M55" i="56" s="1"/>
  <c r="E58" i="56"/>
  <c r="F58" i="56"/>
  <c r="K62" i="56"/>
  <c r="L62" i="56"/>
  <c r="L63" i="56"/>
  <c r="L64" i="56"/>
  <c r="L65" i="56"/>
  <c r="J71" i="56"/>
  <c r="L71" i="56"/>
  <c r="J72" i="56"/>
  <c r="M72" i="56" s="1"/>
  <c r="J73" i="56"/>
  <c r="M73" i="56" s="1"/>
  <c r="O73" i="56" s="1"/>
  <c r="J74" i="56"/>
  <c r="M74" i="56" s="1"/>
  <c r="J75" i="56"/>
  <c r="M75" i="56" s="1"/>
  <c r="D76" i="56"/>
  <c r="E76" i="56"/>
  <c r="F76" i="56"/>
  <c r="G76" i="56"/>
  <c r="H76" i="56"/>
  <c r="I76" i="56"/>
  <c r="M77" i="56"/>
  <c r="E78" i="56"/>
  <c r="J78" i="56" s="1"/>
  <c r="F79" i="56"/>
  <c r="G79" i="56"/>
  <c r="G82" i="56" s="1"/>
  <c r="L79" i="56"/>
  <c r="J80" i="56"/>
  <c r="M80" i="56" s="1"/>
  <c r="J81" i="56"/>
  <c r="M81" i="56" s="1"/>
  <c r="D82" i="56"/>
  <c r="D84" i="56" s="1"/>
  <c r="D87" i="56" s="1"/>
  <c r="D89" i="56" s="1"/>
  <c r="D56" i="56" s="1"/>
  <c r="H82" i="56"/>
  <c r="I82" i="56"/>
  <c r="E83" i="56"/>
  <c r="M83" i="56"/>
  <c r="J85" i="56"/>
  <c r="M85" i="56" s="1"/>
  <c r="E86" i="56"/>
  <c r="J86" i="56" s="1"/>
  <c r="M86" i="56" s="1"/>
  <c r="M88" i="56"/>
  <c r="M90" i="56"/>
  <c r="M91" i="56"/>
  <c r="M92" i="56"/>
  <c r="E8" i="57"/>
  <c r="E11" i="57" s="1"/>
  <c r="F8" i="57"/>
  <c r="F11" i="57" s="1"/>
  <c r="B11" i="57"/>
  <c r="C11" i="57"/>
  <c r="D11" i="57"/>
  <c r="D12" i="57"/>
  <c r="D14" i="57" s="1"/>
  <c r="G13" i="57"/>
  <c r="B14" i="57"/>
  <c r="C14" i="57"/>
  <c r="E14" i="57"/>
  <c r="F14" i="57"/>
  <c r="G15" i="57"/>
  <c r="B16" i="57"/>
  <c r="E16" i="57"/>
  <c r="F16" i="57"/>
  <c r="C17" i="57"/>
  <c r="G17" i="57"/>
  <c r="D17" i="57"/>
  <c r="B19" i="57"/>
  <c r="C19" i="57"/>
  <c r="D19" i="57"/>
  <c r="E19" i="57"/>
  <c r="F19" i="57"/>
  <c r="B22" i="57"/>
  <c r="B23" i="57" s="1"/>
  <c r="C22" i="57"/>
  <c r="C23" i="57" s="1"/>
  <c r="D22" i="57"/>
  <c r="D23" i="57" s="1"/>
  <c r="G24" i="57"/>
  <c r="C31" i="57"/>
  <c r="D32" i="57" s="1"/>
  <c r="G35" i="57"/>
  <c r="D37" i="57"/>
  <c r="D41" i="57"/>
  <c r="G19" i="56"/>
  <c r="G29" i="56" s="1"/>
  <c r="L60" i="56"/>
  <c r="M21" i="56"/>
  <c r="M7" i="56"/>
  <c r="J44" i="56"/>
  <c r="J10" i="56"/>
  <c r="J76" i="56"/>
  <c r="E79" i="56"/>
  <c r="E82" i="56" s="1"/>
  <c r="M10" i="56"/>
  <c r="M6" i="56"/>
  <c r="F82" i="56"/>
  <c r="F84" i="56" s="1"/>
  <c r="F87" i="56" s="1"/>
  <c r="F89" i="56" s="1"/>
  <c r="F56" i="56" s="1"/>
  <c r="M22" i="56"/>
  <c r="L89" i="56"/>
  <c r="L56" i="56" s="1"/>
  <c r="M71" i="56"/>
  <c r="O71" i="56" s="1"/>
  <c r="J38" i="56"/>
  <c r="M38" i="56"/>
  <c r="M44" i="56" l="1"/>
  <c r="M60" i="56"/>
  <c r="H45" i="56"/>
  <c r="E40" i="56"/>
  <c r="E45" i="56" s="1"/>
  <c r="H84" i="56"/>
  <c r="H87" i="56" s="1"/>
  <c r="H89" i="56" s="1"/>
  <c r="H56" i="56" s="1"/>
  <c r="H59" i="56" s="1"/>
  <c r="H65" i="56" s="1"/>
  <c r="H66" i="56" s="1"/>
  <c r="H67" i="56" s="1"/>
  <c r="F40" i="56"/>
  <c r="F45" i="56" s="1"/>
  <c r="J28" i="56"/>
  <c r="G12" i="57"/>
  <c r="G84" i="56"/>
  <c r="G87" i="56" s="1"/>
  <c r="G89" i="56" s="1"/>
  <c r="G56" i="56" s="1"/>
  <c r="F59" i="56"/>
  <c r="F65" i="56" s="1"/>
  <c r="E84" i="56"/>
  <c r="E87" i="56" s="1"/>
  <c r="E89" i="56" s="1"/>
  <c r="E56" i="56" s="1"/>
  <c r="E59" i="56" s="1"/>
  <c r="E65" i="56" s="1"/>
  <c r="E66" i="56" s="1"/>
  <c r="E67" i="56" s="1"/>
  <c r="D28" i="56"/>
  <c r="D29" i="56" s="1"/>
  <c r="G14" i="57"/>
  <c r="G16" i="57"/>
  <c r="C45" i="57" s="1"/>
  <c r="J36" i="56"/>
  <c r="M36" i="56" s="1"/>
  <c r="F29" i="56"/>
  <c r="J18" i="56"/>
  <c r="M18" i="56" s="1"/>
  <c r="O18" i="56" s="1"/>
  <c r="M23" i="56"/>
  <c r="D59" i="56"/>
  <c r="D65" i="56" s="1"/>
  <c r="D66" i="56" s="1"/>
  <c r="D67" i="56" s="1"/>
  <c r="G19" i="57"/>
  <c r="E22" i="57"/>
  <c r="E23" i="57" s="1"/>
  <c r="G40" i="56"/>
  <c r="G45" i="56" s="1"/>
  <c r="I84" i="56"/>
  <c r="I87" i="56" s="1"/>
  <c r="I89" i="56" s="1"/>
  <c r="I56" i="56" s="1"/>
  <c r="I59" i="56" s="1"/>
  <c r="I65" i="56" s="1"/>
  <c r="I66" i="56" s="1"/>
  <c r="I67" i="56" s="1"/>
  <c r="I45" i="56"/>
  <c r="M78" i="56"/>
  <c r="G58" i="56"/>
  <c r="O74" i="56"/>
  <c r="M76" i="56"/>
  <c r="O76" i="56" s="1"/>
  <c r="M39" i="56"/>
  <c r="O39" i="56" s="1"/>
  <c r="O26" i="56"/>
  <c r="M28" i="56"/>
  <c r="M51" i="56"/>
  <c r="J19" i="56"/>
  <c r="J29" i="56" s="1"/>
  <c r="F22" i="57"/>
  <c r="F23" i="57" s="1"/>
  <c r="J79" i="56"/>
  <c r="M79" i="56" s="1"/>
  <c r="O79" i="56" s="1"/>
  <c r="G23" i="57" l="1"/>
  <c r="G27" i="57" s="1"/>
  <c r="G30" i="57" s="1"/>
  <c r="F66" i="56"/>
  <c r="F67" i="56" s="1"/>
  <c r="J40" i="56"/>
  <c r="J45" i="56" s="1"/>
  <c r="J56" i="56"/>
  <c r="M56" i="56" s="1"/>
  <c r="M19" i="56"/>
  <c r="M29" i="56" s="1"/>
  <c r="L57" i="56"/>
  <c r="L67" i="56" s="1"/>
  <c r="J58" i="56"/>
  <c r="G59" i="56"/>
  <c r="G65" i="56" s="1"/>
  <c r="G66" i="56" s="1"/>
  <c r="G67" i="56" s="1"/>
  <c r="J82" i="56"/>
  <c r="J84" i="56" s="1"/>
  <c r="M40" i="56"/>
  <c r="M45" i="56" s="1"/>
  <c r="M82" i="56"/>
  <c r="O78" i="56"/>
  <c r="J87" i="56" l="1"/>
  <c r="J89" i="56" s="1"/>
  <c r="M84" i="56"/>
  <c r="M87" i="56" s="1"/>
  <c r="M89" i="56" s="1"/>
  <c r="M58" i="56"/>
  <c r="M59" i="56" s="1"/>
  <c r="M65" i="56" s="1"/>
  <c r="M66" i="56" s="1"/>
  <c r="M67" i="56" s="1"/>
  <c r="J59" i="56"/>
  <c r="J65" i="56" s="1"/>
  <c r="J66" i="56" s="1"/>
  <c r="J67" i="56" s="1"/>
  <c r="F41" i="58" l="1"/>
  <c r="F72" i="58" l="1"/>
  <c r="F84" i="58" s="1"/>
  <c r="F87" i="58" s="1"/>
  <c r="F89" i="58" s="1"/>
  <c r="F44" i="58"/>
  <c r="G11" i="47"/>
  <c r="G26" i="47" s="1"/>
  <c r="G44" i="47" s="1"/>
  <c r="G48" i="47" s="1"/>
  <c r="G78" i="47" s="1"/>
  <c r="G80" i="47" s="1"/>
  <c r="G116" i="47" s="1"/>
  <c r="F49" i="58" l="1"/>
  <c r="N27" i="60"/>
  <c r="V27" i="60" s="1"/>
  <c r="F53" i="58"/>
  <c r="F46" i="58"/>
  <c r="N32" i="60" l="1"/>
  <c r="F124" i="59" s="1"/>
  <c r="AC32" i="60" l="1"/>
  <c r="F126" i="59"/>
  <c r="F128" i="59" s="1"/>
  <c r="Z27" i="60"/>
  <c r="Z32" i="60" s="1"/>
  <c r="V32" i="60"/>
  <c r="AB32" i="60" l="1"/>
  <c r="F129" i="59"/>
  <c r="F153" i="59" l="1"/>
  <c r="N129" i="59"/>
  <c r="H72" i="58"/>
  <c r="H84" i="58" s="1"/>
  <c r="H87" i="58" s="1"/>
  <c r="H89" i="58" s="1"/>
  <c r="I116" i="47"/>
  <c r="J41" i="58" l="1"/>
  <c r="J72" i="58" s="1"/>
  <c r="J84" i="58" s="1"/>
  <c r="J87" i="58" s="1"/>
  <c r="J89" i="58" s="1"/>
  <c r="K11" i="47" l="1"/>
  <c r="K26" i="47" s="1"/>
  <c r="K44" i="47" s="1"/>
  <c r="K48" i="47" s="1"/>
  <c r="K78" i="47" s="1"/>
  <c r="K80" i="47" s="1"/>
  <c r="K116" i="47" s="1"/>
  <c r="J44" i="58"/>
  <c r="T25" i="61" s="1"/>
  <c r="Y25" i="61" l="1"/>
  <c r="T31" i="61"/>
  <c r="J124" i="59" s="1"/>
  <c r="J126" i="59" s="1"/>
  <c r="J128" i="59" s="1"/>
  <c r="J129" i="59" s="1"/>
  <c r="X25" i="61"/>
  <c r="X31" i="61" s="1"/>
  <c r="J53" i="58"/>
  <c r="J49" i="58"/>
  <c r="J46" i="58"/>
  <c r="Y31" i="61" l="1"/>
  <c r="J153" i="59"/>
  <c r="R129" i="59"/>
  <c r="L72" i="58" l="1"/>
  <c r="L84" i="58" s="1"/>
  <c r="L87" i="58" s="1"/>
  <c r="L89" i="58" s="1"/>
  <c r="M116" i="4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H58" authorId="0" shapeId="0" xr:uid="{00000000-0006-0000-0500-000001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M8" authorId="0" shapeId="0" xr:uid="{00000000-0006-0000-0600-000001000000}">
      <text>
        <r>
          <rPr>
            <sz val="8"/>
            <color indexed="81"/>
            <rFont val="Tahoma"/>
            <family val="2"/>
          </rPr>
          <t xml:space="preserve">ลูกหนี้เกี่ยวข้องกันราย
ซีเอโพสท์(ไทยแลนด์)
จำนวน 1,605,000 บาท
</t>
        </r>
      </text>
    </comment>
    <comment ref="K20" authorId="0" shapeId="0" xr:uid="{00000000-0006-0000-0600-000002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1" authorId="0" shapeId="0" xr:uid="{00000000-0006-0000-0600-000003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2" authorId="0" shapeId="0" xr:uid="{00000000-0006-0000-0600-000004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3" authorId="0" shapeId="0" xr:uid="{00000000-0006-0000-0600-000005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7" authorId="0" shapeId="0" xr:uid="{00000000-0006-0000-0600-000006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8" authorId="0" shapeId="0" xr:uid="{00000000-0006-0000-0600-000007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0" authorId="0" shapeId="0" xr:uid="{00000000-0006-0000-0600-000008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<sst xmlns="http://schemas.openxmlformats.org/spreadsheetml/2006/main" count="542" uniqueCount="383">
  <si>
    <t>หนี้สินไม่หมุนเวียนอื่น</t>
  </si>
  <si>
    <t>รายได้ค้างรับ</t>
  </si>
  <si>
    <t>ส่วนของผู้ถือหุ้นส่วนน้อย</t>
  </si>
  <si>
    <t>งบกำไรขาดทุน</t>
  </si>
  <si>
    <t xml:space="preserve"> </t>
  </si>
  <si>
    <t>ส่วนแบ่งกำไรจากเงินลงทุนตามวิธีส่วนได้เสีย - บริษัทร่วม</t>
  </si>
  <si>
    <t xml:space="preserve">          รวมค่าใช้จ่าย</t>
  </si>
  <si>
    <t>ต้นทุนขายและบริการ</t>
  </si>
  <si>
    <t>สินทรัพย์หมุนเวียน</t>
  </si>
  <si>
    <t>ผลต่าง</t>
  </si>
  <si>
    <t>ภาษีมูลค่าเพิ่ม</t>
  </si>
  <si>
    <t>ค่าใช้จ่ายค้างจ่าย</t>
  </si>
  <si>
    <t>ภาษีเงินได้นิติบุคคลค้างจ่าย</t>
  </si>
  <si>
    <t>ดอกเบี้ยรับ</t>
  </si>
  <si>
    <t xml:space="preserve">         รวมรายได้</t>
  </si>
  <si>
    <t>กำไร(ขาดทุน)ก่อนดอกเบี้ยจ่ายและภาษีเงินได้</t>
  </si>
  <si>
    <t>ภาษีเงินได้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</si>
  <si>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</si>
  <si>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</si>
  <si>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</si>
  <si>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รวมหนี้สินหมุนเวียน</t>
  </si>
  <si>
    <t xml:space="preserve">          รวมหนี้สินไม่หมุนเวียน</t>
  </si>
  <si>
    <t xml:space="preserve">                    รวมหนี้สิน</t>
  </si>
  <si>
    <t>ส่วนเกินมูลค่าหุ้นสามัญที่ออกจำหน่าย</t>
  </si>
  <si>
    <t xml:space="preserve">                    รวมส่วนของผู้ถือหุ้น</t>
  </si>
  <si>
    <t>ค่าใช้จ่ายในการขายและบริหาร</t>
  </si>
  <si>
    <t>เจ้าหนี้กรมสรรพากร</t>
  </si>
  <si>
    <t>รวม</t>
  </si>
  <si>
    <t>ค่าใช้จ่ายล่วงหน้า</t>
  </si>
  <si>
    <t>กำไร(ขาดทุน)สุทธิหลังภาษีเงินได้</t>
  </si>
  <si>
    <t>กำไร(ขาดทุน)สุทธิ</t>
  </si>
  <si>
    <t>ภาษีเงินได้ถูกหัก ณ ที่จ่าย</t>
  </si>
  <si>
    <t>สินค้าคงเหลือ สุทธิ</t>
  </si>
  <si>
    <t>งบการเงินรวม</t>
  </si>
  <si>
    <t>งบการเงินเฉพาะบริษัท</t>
  </si>
  <si>
    <t>จัดสรรแล้ว - สำรองตามกฎหมาย</t>
  </si>
  <si>
    <t xml:space="preserve">          รวมส่วนของผู้ถือหุ้นบริษัทใหญ่</t>
  </si>
  <si>
    <t>ขาดทุน (กำไร) สุทธิส่วนที่เป็นของผู้ถือหุ้นส่วนน้อย</t>
  </si>
  <si>
    <t>รวมหนี้สินและส่วนของผู้ถือหุ้น</t>
  </si>
  <si>
    <t>รายได้</t>
  </si>
  <si>
    <t>ค่าใช้จ่าย</t>
  </si>
  <si>
    <t>ดอกเบี้ยจ่าย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</si>
  <si>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</si>
  <si>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</si>
  <si>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</si>
  <si>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</si>
  <si>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</si>
  <si>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</si>
  <si>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</si>
  <si>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</si>
  <si>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</si>
  <si>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ส่วนของผู้ถือหุ้น</t>
  </si>
  <si>
    <t>บริษัท บรุ๊คเคอร์ กรุ๊ป จำกัด (มหาชน) และบริษัทย่อย</t>
  </si>
  <si>
    <t>เงินลงทุนชั่วคราว</t>
  </si>
  <si>
    <t>เงินลงทุนในบริษัทย่อยและบริษัทร่วม</t>
  </si>
  <si>
    <t>เงินลงทุนทั่วไป</t>
  </si>
  <si>
    <t>ส่วนต่ำมูลค่าหุ้นสามัญที่ออกจำหน่าย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</si>
  <si>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</si>
  <si>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</si>
  <si>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รายได้จากการขายและบริการ</t>
  </si>
  <si>
    <t>ส่วนแบ่งผลขาดทุนจากเงินลงทุนตามวิธีส่วนได้เสีย</t>
  </si>
  <si>
    <t>ค่าตอบแทนกรรมการ</t>
  </si>
  <si>
    <t>BG</t>
  </si>
  <si>
    <t>BBT</t>
  </si>
  <si>
    <t>BBS</t>
  </si>
  <si>
    <t>BCL</t>
  </si>
  <si>
    <t>BD</t>
  </si>
  <si>
    <t>BAL</t>
  </si>
  <si>
    <t>ทุนที่ออกและชำระเต็มมูลค่าแล้ว - หุ้นสามัญ    761,331,010  หุ้น</t>
  </si>
  <si>
    <t>@ 31 มีนาคม 2550</t>
  </si>
  <si>
    <t>กระดาษทำการงบการเงินรวม</t>
  </si>
  <si>
    <t>รายการปรับปรุง</t>
  </si>
  <si>
    <t>ลำดับที่-รายการ</t>
  </si>
  <si>
    <t>จำนวนเงิน</t>
  </si>
  <si>
    <t>ลูกหนี้การค้า สุทธิ กิจการที่เกี่ยวข้องกัน</t>
  </si>
  <si>
    <t>ลูกหนี้การค้า สุทธิ กิจการอื่น</t>
  </si>
  <si>
    <t>รายได้ที่ยังไม่ได้เรียกเก็บ -กิจการที่เกี่ยวข้องกัน</t>
  </si>
  <si>
    <t>รายได้ที่ยังไม่ได้เรียกเก็บ -กิจการอื่น</t>
  </si>
  <si>
    <t>เงินเบิกเกินบัญชีและเงินกู้ยืมระยะสั้นจากสถาบันการเงิน</t>
  </si>
  <si>
    <t>&lt;-----ต้อง = 0 ------&gt;</t>
  </si>
  <si>
    <t xml:space="preserve">อื่น ๆ  </t>
  </si>
  <si>
    <t xml:space="preserve">อุปกรณ์ สุทธิ     </t>
  </si>
  <si>
    <t>เจ้าหนี้การค้า สุทธิ กิจการที่เกี่ยวข้องกัน</t>
  </si>
  <si>
    <t>เจ้าหนี้การค้า สุทธิ กิจการอื่น</t>
  </si>
  <si>
    <t>1)  ลูกหนี้ และเจ้าหนี้</t>
  </si>
  <si>
    <t>2)  รายได้ที่ยังไม่เก็บ</t>
  </si>
  <si>
    <t>3)  ล้างรายได้ระหว่างกัน</t>
  </si>
  <si>
    <t>4)เงินลงทุนในย่อย</t>
  </si>
  <si>
    <t>รายได้รับล่วงหน้า</t>
  </si>
  <si>
    <t>กระดาษทำการเงินลงทุนในบริษัทย่อย/ร่วม</t>
  </si>
  <si>
    <t>ราคาต่อหุ้น</t>
  </si>
  <si>
    <t>สัดส่วนการถือหุ้น ณ 31 ธค 2549</t>
  </si>
  <si>
    <t>จำนวนเงินตามสัดส่วนการถือหุ้น ณ 31 ธค 2549</t>
  </si>
  <si>
    <t>มูลค่าสุทธิเงินลงทุน ณ 31 ธค 2549</t>
  </si>
  <si>
    <t>ผลการดำเนินงานของบริษัทย่อย Q150</t>
  </si>
  <si>
    <t xml:space="preserve">    - ส่วนแบ่งกำไร  Q150</t>
  </si>
  <si>
    <t xml:space="preserve">    - ส่วนแบ่ง(ขาดทุน) Q150</t>
  </si>
  <si>
    <t>ราคาทุนของเงินลงทุน ณ วันซื้อ (สถาณะ 31/12/49)</t>
  </si>
  <si>
    <t>ทุนจดทะเบียน (บาท)</t>
  </si>
  <si>
    <t xml:space="preserve">       CR ผลสะสมจากการปรับปรุงนโยบายบัญชี</t>
  </si>
  <si>
    <t>DR ผลขาดทุนที่เกินกว่าเงินลงทุน</t>
  </si>
  <si>
    <t xml:space="preserve"> 1. รายการปรับปรุงเปลี่ยนแปลง Equity ------&gt;Cost</t>
  </si>
  <si>
    <t xml:space="preserve"> 2. ตั้งค่าเผื่อการด้อยค่าเงินลงทุน</t>
  </si>
  <si>
    <t>DR เงินลงทุนในบริษัทร่วม</t>
  </si>
  <si>
    <t xml:space="preserve">      DR ผลสะสมจากการปรับปรุงนโยบายบัญชี</t>
  </si>
  <si>
    <t xml:space="preserve">             CR ค่าเผื่อการด้อยค่าเงินลงทุน</t>
  </si>
  <si>
    <t xml:space="preserve">     DR เงินลงทุนในบริษัทย่อย</t>
  </si>
  <si>
    <t xml:space="preserve">            CR ผลสะสมจากการปรับปรุงนโยบายบัญชี</t>
  </si>
  <si>
    <t>ผลสะสมจากการเปลี่ยนแปลง Equity เป็น Cost</t>
  </si>
  <si>
    <t>5)AJE ด้อยค่าเงินลงทุน</t>
  </si>
  <si>
    <t>5)AJE ประมาณการชาดทุน</t>
  </si>
  <si>
    <t>7)ผู้ถือหุ้นส่วนน้อย-ทุน</t>
  </si>
  <si>
    <t>ค่าเผื่อการด้อยค่าเงินลงทุน</t>
  </si>
  <si>
    <r>
      <t xml:space="preserve">เงินกู้ยืมจากบุคคลที่เกี่ยวข้องกัน </t>
    </r>
    <r>
      <rPr>
        <sz val="12"/>
        <color indexed="10"/>
        <rFont val="Angsana New"/>
        <family val="1"/>
      </rPr>
      <t>(4,274,821.25 + 348,965.00)</t>
    </r>
  </si>
  <si>
    <t>6)AJE ขาดทุนสะสมยกมา</t>
  </si>
  <si>
    <t>ยังไม่ได้จัดสรร - ยกมา</t>
  </si>
  <si>
    <t>ยังไม่ได้จัดสรร - ปีนี้</t>
  </si>
  <si>
    <t>6)AJE ขาดทุนของส่วนน้อย</t>
  </si>
  <si>
    <t>ส่วนของผู้ถือหุ้นส่วนน้อย Q150</t>
  </si>
  <si>
    <t>ส่วนน้อยQ1'50</t>
  </si>
  <si>
    <t xml:space="preserve"> 2. ประมาณการขาดทุนจากเงินลงทุน</t>
  </si>
  <si>
    <t xml:space="preserve">      DR ผลขาดทุนเกินกว่าเงินลงทุน</t>
  </si>
  <si>
    <t xml:space="preserve">             CR ประมาณการขาดทุนจากเงินลงทุน</t>
  </si>
  <si>
    <t>4) Adj MI Q1'50</t>
  </si>
  <si>
    <t>รวมAJE กำไรขาดทุน</t>
  </si>
  <si>
    <t>มูลค่าสุทธิเงินลงทุน ณ 31 มีค 2550</t>
  </si>
  <si>
    <t>ส่วนของผู้ถือหุ้นส่วนน้อยรวม ณ 31 มีค 50</t>
  </si>
  <si>
    <t>หัก เงินทุนที่ยังไม่ได้ชำระ</t>
  </si>
  <si>
    <t>กำไร(ขาดทุน) สะสม 31 ธค 49</t>
  </si>
  <si>
    <t>ยอดภาษีที่ลดลงจากตั้งค่าใช้จ่ายค้างจ่าย----------------------------------------------------&gt;</t>
  </si>
  <si>
    <t>Reclass ไปลด MI</t>
  </si>
  <si>
    <t>THE BROOKER GROUP PUBLIC COMPANY LIMITED AND ITS SUBSIDIARIES</t>
  </si>
  <si>
    <t>B A H T</t>
  </si>
  <si>
    <t>NOTE</t>
  </si>
  <si>
    <t>CURRENT  ASSETS</t>
  </si>
  <si>
    <t>Cash  and cash equivalents</t>
  </si>
  <si>
    <t xml:space="preserve"> A S S E T S </t>
  </si>
  <si>
    <t>Other  current   assets</t>
  </si>
  <si>
    <t>Others</t>
  </si>
  <si>
    <t>NON-CURRENT ASSETS</t>
  </si>
  <si>
    <t>Other non-current assets</t>
  </si>
  <si>
    <t>Withholding tax withheld</t>
  </si>
  <si>
    <t>TOTAL NON-CURRENT ASSETS</t>
  </si>
  <si>
    <t>TOTAL CURRENT ASSETS</t>
  </si>
  <si>
    <t>TOTAL ASSETS</t>
  </si>
  <si>
    <t>Sign ..........................................................……......  Director</t>
  </si>
  <si>
    <t>LIABILITIES AND SHAREHOLDERS' EQUITY</t>
  </si>
  <si>
    <t>CURRENT LIABILITIES</t>
  </si>
  <si>
    <t>Other current liabilities</t>
  </si>
  <si>
    <t>Accrued corporate income tax</t>
  </si>
  <si>
    <t>TOTAL CURRENT LIABILITIES</t>
  </si>
  <si>
    <t>SHAREHOLDERS' EQUITY</t>
  </si>
  <si>
    <t xml:space="preserve">    Registered</t>
  </si>
  <si>
    <t>Retained earnings</t>
  </si>
  <si>
    <t>Appropriated - Legal reserve</t>
  </si>
  <si>
    <t>Unappropriated</t>
  </si>
  <si>
    <t>TOTAL  LIABILITIES  AND SHAREHOLDERS’ EQUITY</t>
  </si>
  <si>
    <t>REVENUES</t>
  </si>
  <si>
    <t>Other income</t>
  </si>
  <si>
    <t>Interest income</t>
  </si>
  <si>
    <t xml:space="preserve">         Total revenues</t>
  </si>
  <si>
    <t>EXPENSES</t>
  </si>
  <si>
    <t xml:space="preserve">          Total expenses</t>
  </si>
  <si>
    <t>NET PROFIT (LOSS)</t>
  </si>
  <si>
    <t>Number of weighted average shares (shares)</t>
  </si>
  <si>
    <t>BAHT</t>
  </si>
  <si>
    <t>paid - up</t>
  </si>
  <si>
    <t>share capital</t>
  </si>
  <si>
    <t>Share capital</t>
  </si>
  <si>
    <t>Difference from</t>
  </si>
  <si>
    <t>translation of</t>
  </si>
  <si>
    <t>financial statements</t>
  </si>
  <si>
    <t>Difference from translation of financial statements</t>
  </si>
  <si>
    <t xml:space="preserve">Appropriated </t>
  </si>
  <si>
    <t>legal reserve</t>
  </si>
  <si>
    <t>Total</t>
  </si>
  <si>
    <t>of investment</t>
  </si>
  <si>
    <t>valuation</t>
  </si>
  <si>
    <t>STATEMENTS OF CASH FLOWS</t>
  </si>
  <si>
    <t>CASH FLOWS FROM OPERATING ACTIVITIES :</t>
  </si>
  <si>
    <t xml:space="preserve">             provided by (used in) Operating Activities</t>
  </si>
  <si>
    <t>Adjustments to reconcile net profit to net cash -</t>
  </si>
  <si>
    <t>Depreciation</t>
  </si>
  <si>
    <t>Operating assets (increase), decrease</t>
  </si>
  <si>
    <t>CASH  FLOWS  FROM  INVESTING  ACTIVITIES :</t>
  </si>
  <si>
    <t>INCREASE (DECREASE) IN CASH AND CASH EQUIVALENTS - NET</t>
  </si>
  <si>
    <t>Other current assets</t>
  </si>
  <si>
    <t>Operating liabilities increase (decrease)</t>
  </si>
  <si>
    <t>Non-related companies</t>
  </si>
  <si>
    <t>Related  companies</t>
  </si>
  <si>
    <t xml:space="preserve">Investments in subsidiary companies </t>
  </si>
  <si>
    <t xml:space="preserve">    Issued and paid up</t>
  </si>
  <si>
    <t>(loss) from change</t>
  </si>
  <si>
    <t xml:space="preserve">Unrealized gain </t>
  </si>
  <si>
    <t>CASHFLOWS  FROM  FINANCING  ACTIVITIES</t>
  </si>
  <si>
    <t>Cash received</t>
  </si>
  <si>
    <t>in advance for</t>
  </si>
  <si>
    <t>ordinary share</t>
  </si>
  <si>
    <t>Net cash provided by (used in) financing activities</t>
  </si>
  <si>
    <t xml:space="preserve">     Net cash provided by (used in) operating activities</t>
  </si>
  <si>
    <t>provided by (used in) operating activities</t>
  </si>
  <si>
    <t>Loans</t>
  </si>
  <si>
    <t>Issued and</t>
  </si>
  <si>
    <t xml:space="preserve">   Payment of Corporate income tax</t>
  </si>
  <si>
    <t>Consolidated Financial Statement</t>
  </si>
  <si>
    <t>Separate  Financial Statement</t>
  </si>
  <si>
    <t>CONSOLIDATED  FINANCIAL  STATEMENT</t>
  </si>
  <si>
    <t>SEPARATE  FINANCIAL  STATEMENT</t>
  </si>
  <si>
    <t>Equity holders of the parent  (Baht)</t>
  </si>
  <si>
    <t>Deposit with restriction</t>
  </si>
  <si>
    <t>Suspense output tax</t>
  </si>
  <si>
    <t>Administrative expenses</t>
  </si>
  <si>
    <t>Financial costs</t>
  </si>
  <si>
    <t>Trade  accounts receivable - net</t>
  </si>
  <si>
    <t xml:space="preserve">                               BAHT</t>
  </si>
  <si>
    <t>เงินสดคงเหลือสิ้นงวด =</t>
  </si>
  <si>
    <t>TEST  ต้อง = 0</t>
  </si>
  <si>
    <t>Retained earnings  (Deficit)</t>
  </si>
  <si>
    <t>Note</t>
  </si>
  <si>
    <t>to equity holders</t>
  </si>
  <si>
    <t>of parent</t>
  </si>
  <si>
    <t>NON-CURRENT LIABILITIES</t>
  </si>
  <si>
    <t>TOTAL NON-CURRENT LIABILITIES</t>
  </si>
  <si>
    <t>TOTAL LIABILITIES</t>
  </si>
  <si>
    <t>Services income</t>
  </si>
  <si>
    <t>STATEMENTS  OF COMPREHENSIVE  INCOME</t>
  </si>
  <si>
    <t>Non</t>
  </si>
  <si>
    <t>Controlling</t>
  </si>
  <si>
    <t>Other components of shareholders' equity</t>
  </si>
  <si>
    <t>shareholders' equity</t>
  </si>
  <si>
    <t>Total  other</t>
  </si>
  <si>
    <t xml:space="preserve"> components of </t>
  </si>
  <si>
    <t xml:space="preserve">Non-controlling interests </t>
  </si>
  <si>
    <t>Trade accounts receivable - related parties</t>
  </si>
  <si>
    <t>Trade accounts receivable - other parties</t>
  </si>
  <si>
    <t>Trade accounts payable - other parties</t>
  </si>
  <si>
    <t xml:space="preserve">   Payment of interest expense</t>
  </si>
  <si>
    <t>STATEMENTS OF FINANCIAL POSITION</t>
  </si>
  <si>
    <t>Net income (loss) attributable to :</t>
  </si>
  <si>
    <t>Equity holders of the parent</t>
  </si>
  <si>
    <t>Other comprehensive income (loss)</t>
  </si>
  <si>
    <t>Total comprehensive income (loss) attributable to :</t>
  </si>
  <si>
    <t>Operating gain (loss) before changes in operating assets and liabilities</t>
  </si>
  <si>
    <t>Check</t>
  </si>
  <si>
    <t>Warrants</t>
  </si>
  <si>
    <t>Value  added tax - net</t>
  </si>
  <si>
    <t>BASIC EARNINGS PER SHARE</t>
  </si>
  <si>
    <t>DILUTED EARNINGS PER SHARE</t>
  </si>
  <si>
    <t>Interests</t>
  </si>
  <si>
    <t>Accounts receivable - Other</t>
  </si>
  <si>
    <t>Other accounts receivable - related parties</t>
  </si>
  <si>
    <t>Other accounts receivable - other parties</t>
  </si>
  <si>
    <t>Cost of services</t>
  </si>
  <si>
    <t>Other accounts payable - other parties</t>
  </si>
  <si>
    <t xml:space="preserve">attributable </t>
  </si>
  <si>
    <t xml:space="preserve">Equity </t>
  </si>
  <si>
    <t>Profit (loss) before income tax</t>
  </si>
  <si>
    <t>STATEMENTS OF CHANGES IN SHAREHOLDERS' EQUITY</t>
  </si>
  <si>
    <t>Loan to other parties, (increase) decrease</t>
  </si>
  <si>
    <t>Loan to related company, (increase) decrease</t>
  </si>
  <si>
    <t>Deferred tax assets</t>
  </si>
  <si>
    <t>Accounts payable - Trade</t>
  </si>
  <si>
    <t xml:space="preserve">     Total equity of the parent</t>
  </si>
  <si>
    <t xml:space="preserve">     Total shasreholders' equity</t>
  </si>
  <si>
    <t>Exchange differences on translation of foreign operations</t>
  </si>
  <si>
    <t xml:space="preserve">Net profit (loss) </t>
  </si>
  <si>
    <t>Employee benefits</t>
  </si>
  <si>
    <t>Deferred tax (income) expense</t>
  </si>
  <si>
    <t>Income tax expense</t>
  </si>
  <si>
    <t>Income tax expense of current year</t>
  </si>
  <si>
    <t>Other components of</t>
  </si>
  <si>
    <t>Gain (loss) from estimate of</t>
  </si>
  <si>
    <t>actuarial assumptions</t>
  </si>
  <si>
    <t>Changes in equity</t>
  </si>
  <si>
    <t xml:space="preserve">Changes in equity </t>
  </si>
  <si>
    <t xml:space="preserve">Net cash provided by (used in) investing activities </t>
  </si>
  <si>
    <t>Investment Property</t>
  </si>
  <si>
    <t xml:space="preserve">Share capital - Baht 0.125 each </t>
  </si>
  <si>
    <t>Premium on  share capital</t>
  </si>
  <si>
    <t>Premium</t>
  </si>
  <si>
    <t>(Discount) on</t>
  </si>
  <si>
    <t xml:space="preserve">Share  </t>
  </si>
  <si>
    <t>subscriptions</t>
  </si>
  <si>
    <t>received</t>
  </si>
  <si>
    <t>in advance</t>
  </si>
  <si>
    <t>Other non-current liabilities</t>
  </si>
  <si>
    <t>Loans - Long term</t>
  </si>
  <si>
    <t>Short-term loan from Financial Institution</t>
  </si>
  <si>
    <t>Other comprehensive income to be reclassified</t>
  </si>
  <si>
    <t>to profit or loss in subsequent periods :</t>
  </si>
  <si>
    <t>Other comprehensive income not to be reclassified</t>
  </si>
  <si>
    <t>Gain (loss) from estimate of actuarial assumptions</t>
  </si>
  <si>
    <t>Income tax in other component of shareholders's equity</t>
  </si>
  <si>
    <t xml:space="preserve">   Transfer gain(loss) from estimate of acturial</t>
  </si>
  <si>
    <t xml:space="preserve">    - assumptions to retained earnings</t>
  </si>
  <si>
    <t>Gain (loss) from</t>
  </si>
  <si>
    <t xml:space="preserve">estimate of </t>
  </si>
  <si>
    <t>actuarial</t>
  </si>
  <si>
    <t>assumptions</t>
  </si>
  <si>
    <t>OPERATING AND INVESTMENT  ACTIVITIES NOT AFFECTING CASH</t>
  </si>
  <si>
    <t>Other current financial assets</t>
  </si>
  <si>
    <t>Other non-current financial assets</t>
  </si>
  <si>
    <t>Other accounts payables</t>
  </si>
  <si>
    <t>Non-current provision for employee benefit</t>
  </si>
  <si>
    <t>Gain on sales from measurement of other current financial assets</t>
  </si>
  <si>
    <t>Unrealized gain from measurement of other current financial assets</t>
  </si>
  <si>
    <t>Unrealized loss from measurement of other current financial assets</t>
  </si>
  <si>
    <t>Purchase of property and equipments</t>
  </si>
  <si>
    <t>Related  parties</t>
  </si>
  <si>
    <t>Loss on reduced value of inventory</t>
  </si>
  <si>
    <t>Other accounts payable - related parties</t>
  </si>
  <si>
    <t>Profit (loss) before financial costs and income tax</t>
  </si>
  <si>
    <t>Loss on reduced value of inventory (reversal)</t>
  </si>
  <si>
    <t>Total comprehensive income (loss) for the period</t>
  </si>
  <si>
    <t>Profit (loss) for the period</t>
  </si>
  <si>
    <t>(Unaudited / but reviewed)</t>
  </si>
  <si>
    <t>CASH AND CASH EQUIVALENTS, BEGINNING OF PERIOD</t>
  </si>
  <si>
    <t>CASH AND CASH EQUIVALENTS, END OF PERIOD</t>
  </si>
  <si>
    <t>Other comprehensive income (loss) for the period, net of tax</t>
  </si>
  <si>
    <t xml:space="preserve">Income from digital assets inventory </t>
  </si>
  <si>
    <t>Gain on sales of other non-current financial assets</t>
  </si>
  <si>
    <t>Gain on exchange rate</t>
  </si>
  <si>
    <t>Reversal for reduced value of inventory</t>
  </si>
  <si>
    <t>Share of profit (loss) from investments in associate</t>
  </si>
  <si>
    <t>Beginning balance as at January 1, 2024</t>
  </si>
  <si>
    <t>13,14,16</t>
  </si>
  <si>
    <t>Share  loss from investments in associate</t>
  </si>
  <si>
    <t xml:space="preserve">Gain (loss) from digital assets inventory </t>
  </si>
  <si>
    <t>Trade accounts payable - related parties</t>
  </si>
  <si>
    <t>Other non-current financial assets, (increase) decrease</t>
  </si>
  <si>
    <t>Short-term loan from financial institution, increase (decrease)</t>
  </si>
  <si>
    <t>Loan from related company, increase (decrease)</t>
  </si>
  <si>
    <t>Cash paid for lease liabilities</t>
  </si>
  <si>
    <t>Property and equipment - net</t>
  </si>
  <si>
    <t xml:space="preserve">Gain from exchange digital assets inventory </t>
  </si>
  <si>
    <t xml:space="preserve">Loss from exchange digital assets inventory </t>
  </si>
  <si>
    <t>Dividend income</t>
  </si>
  <si>
    <t>Dividend received from other company</t>
  </si>
  <si>
    <t>Dividend paid by the Company</t>
  </si>
  <si>
    <t>6</t>
  </si>
  <si>
    <t>Inventory</t>
  </si>
  <si>
    <t xml:space="preserve">   Cash paid to employee benefits</t>
  </si>
  <si>
    <t>Net cash from operation</t>
  </si>
  <si>
    <t>Cash from subsidiary's liquidation (increase) decrease</t>
  </si>
  <si>
    <t>Ordinary shares increased - exercise of warrants</t>
  </si>
  <si>
    <t>Investments in associate , (increase) decrease</t>
  </si>
  <si>
    <t>Digital asset inventory Increase (decrease)</t>
  </si>
  <si>
    <t>Intangible assets  Increase (decrease)</t>
  </si>
  <si>
    <t>AS AT MARCH 31, 2025</t>
  </si>
  <si>
    <t>December 31, 2024</t>
  </si>
  <si>
    <t>Prepaid corporate income tax</t>
  </si>
  <si>
    <t>Investments in associate and Joint ventures</t>
  </si>
  <si>
    <t>Land held for development</t>
  </si>
  <si>
    <t>Right of used assets</t>
  </si>
  <si>
    <t>Intangible assets - NFTs</t>
  </si>
  <si>
    <t>Intangible assets - Digital Assets</t>
  </si>
  <si>
    <t>Current portion - Liabilities under financial lease contract</t>
  </si>
  <si>
    <t>FOR THE THREE -MONTH PERIOD ENDED MARCH 31, 2025</t>
  </si>
  <si>
    <t>Beginning balance as at January 1, 2025</t>
  </si>
  <si>
    <t>Ending balance as at March 31, 2025</t>
  </si>
  <si>
    <t>Ending balance as at  March 31, 2025</t>
  </si>
  <si>
    <t>March  31, 2025</t>
  </si>
  <si>
    <t>FOR  THE THREE-MONTH PERIOD ENDED MARCH 31, 2025</t>
  </si>
  <si>
    <t>For the three-month period ended March 31</t>
  </si>
  <si>
    <t>Cost of sales :</t>
  </si>
  <si>
    <t>Income from sales of digital assets</t>
  </si>
  <si>
    <t xml:space="preserve">   - Cost of sale from digital assets</t>
  </si>
  <si>
    <t xml:space="preserve">   - Reversal for reduced value of inventory</t>
  </si>
  <si>
    <t>Unrealized (gain) loss from measurement of other current financial assets</t>
  </si>
  <si>
    <t>17</t>
  </si>
  <si>
    <t>(Unaudited/</t>
  </si>
  <si>
    <t>but Reviewed)</t>
  </si>
  <si>
    <t>(Audited)</t>
  </si>
  <si>
    <t>The accompanying interim notes to financial statements are an integral part of these interim financial statements.</t>
  </si>
  <si>
    <t>- Ordinary share 13,262,835,895  shares</t>
  </si>
  <si>
    <t>- Ordinary share 10,800,820,471  shares</t>
  </si>
  <si>
    <t xml:space="preserve">   Total comprehensive income (loss) for the period</t>
  </si>
  <si>
    <t>Ending balance as at March 31, 2024</t>
  </si>
  <si>
    <t>Ending balance as at  March 31, 2024</t>
  </si>
  <si>
    <t>5 , 7</t>
  </si>
  <si>
    <t>Allowance for doubtful account (reversal)</t>
  </si>
  <si>
    <t xml:space="preserve">7 </t>
  </si>
  <si>
    <t>STATEMENTS OF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</si>
</sst>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.00;\(#,##0.00\)"/>
    <numFmt numFmtId="167" formatCode="#,##0;\(#,##0\)"/>
    <numFmt numFmtId="168" formatCode="#,##0.0;\(#,##0.0\)"/>
    <numFmt numFmtId="169" formatCode="0.0%"/>
    <numFmt numFmtId="170" formatCode="dd\-mmm\-yy_)"/>
    <numFmt numFmtId="171" formatCode="0.00_)"/>
    <numFmt numFmtId="172" formatCode="#,##0.00\ &quot;F&quot;;\-#,##0.00\ &quot;F&quot;"/>
    <numFmt numFmtId="173" formatCode="\U\$#,##0;\]\(\U\$#,##0\)"/>
    <numFmt numFmtId="174" formatCode="_-* #,##0_-;\-* #,##0_-;_-* &quot;-&quot;??_-;_-@_-"/>
    <numFmt numFmtId="175" formatCode="_(* #,##0.000_);_(* \(#,##0.000\);_(* &quot;-&quot;??_);_(@_)"/>
  </numFmts>
  <fonts count="32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sz val="12"/>
      <color indexed="10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3"/>
      <name val="Angsana New"/>
      <family val="1"/>
      <charset val="222"/>
    </font>
    <font>
      <sz val="13"/>
      <name val="AngsanaUPC"/>
      <family val="1"/>
      <charset val="222"/>
    </font>
    <font>
      <sz val="12"/>
      <name val="AngsanaUPC"/>
      <family val="1"/>
      <charset val="222"/>
    </font>
    <font>
      <sz val="14"/>
      <name val="Angsana New"/>
      <family val="1"/>
    </font>
    <font>
      <b/>
      <sz val="14"/>
      <name val="Angsana New"/>
      <family val="1"/>
    </font>
    <font>
      <b/>
      <u/>
      <sz val="14"/>
      <name val="Angsana New"/>
      <family val="1"/>
    </font>
    <font>
      <sz val="14"/>
      <color indexed="10"/>
      <name val="Angsana New"/>
      <family val="1"/>
    </font>
    <font>
      <sz val="14"/>
      <name val="AngsanaUPC"/>
      <family val="1"/>
      <charset val="222"/>
    </font>
    <font>
      <sz val="14"/>
      <name val="Angsana New"/>
      <family val="1"/>
      <charset val="222"/>
    </font>
    <font>
      <sz val="14"/>
      <name val="Cordia New"/>
      <family val="2"/>
    </font>
    <font>
      <sz val="13"/>
      <name val="Angsana New"/>
      <family val="1"/>
    </font>
    <font>
      <sz val="10"/>
      <name val="Angsana New"/>
      <family val="1"/>
    </font>
    <font>
      <sz val="8"/>
      <name val="Angsana New"/>
      <family val="1"/>
    </font>
    <font>
      <i/>
      <sz val="12"/>
      <name val="Angsana New"/>
      <family val="1"/>
    </font>
    <font>
      <sz val="7"/>
      <name val="Times New Roman"/>
      <family val="1"/>
    </font>
    <font>
      <b/>
      <sz val="12"/>
      <name val="Angsana New"/>
      <family val="1"/>
    </font>
    <font>
      <sz val="12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6">
    <xf numFmtId="0" fontId="0" fillId="0" borderId="0"/>
    <xf numFmtId="43" fontId="1" fillId="0" borderId="0" applyFont="0" applyFill="0" applyBorder="0" applyAlignment="0" applyProtection="0"/>
    <xf numFmtId="172" fontId="9" fillId="0" borderId="0"/>
    <xf numFmtId="170" fontId="9" fillId="0" borderId="0"/>
    <xf numFmtId="169" fontId="9" fillId="0" borderId="0"/>
    <xf numFmtId="38" fontId="8" fillId="2" borderId="0" applyNumberFormat="0" applyBorder="0" applyAlignment="0" applyProtection="0"/>
    <xf numFmtId="10" fontId="8" fillId="3" borderId="1" applyNumberFormat="0" applyBorder="0" applyAlignment="0" applyProtection="0"/>
    <xf numFmtId="37" fontId="10" fillId="0" borderId="0"/>
    <xf numFmtId="171" fontId="11" fillId="0" borderId="0"/>
    <xf numFmtId="0" fontId="24" fillId="0" borderId="0"/>
    <xf numFmtId="10" fontId="12" fillId="0" borderId="0" applyFont="0" applyFill="0" applyBorder="0" applyAlignment="0" applyProtection="0"/>
    <xf numFmtId="1" fontId="12" fillId="0" borderId="2" applyNumberFormat="0" applyFill="0" applyAlignment="0" applyProtection="0">
      <alignment horizontal="center" vertical="center"/>
    </xf>
    <xf numFmtId="0" fontId="1" fillId="0" borderId="0"/>
    <xf numFmtId="43" fontId="1" fillId="0" borderId="0" applyFont="0" applyFill="0" applyBorder="0" applyAlignment="0" applyProtection="0"/>
    <xf numFmtId="0" fontId="12" fillId="0" borderId="0"/>
    <xf numFmtId="0" fontId="1" fillId="0" borderId="0"/>
  </cellStyleXfs>
  <cellXfs count="314">
    <xf numFmtId="0" fontId="0" fillId="0" borderId="0" xfId="0"/>
    <xf numFmtId="166" fontId="2" fillId="0" borderId="0" xfId="0" applyNumberFormat="1" applyFont="1"/>
    <xf numFmtId="166" fontId="2" fillId="0" borderId="0" xfId="1" applyNumberFormat="1" applyFont="1" applyFill="1" applyBorder="1"/>
    <xf numFmtId="0" fontId="2" fillId="0" borderId="0" xfId="0" applyFont="1"/>
    <xf numFmtId="43" fontId="2" fillId="0" borderId="0" xfId="1" applyFont="1" applyFill="1"/>
    <xf numFmtId="166" fontId="2" fillId="0" borderId="0" xfId="1" applyNumberFormat="1" applyFont="1" applyFill="1"/>
    <xf numFmtId="43" fontId="2" fillId="0" borderId="0" xfId="1" applyFont="1" applyFill="1" applyBorder="1"/>
    <xf numFmtId="166" fontId="3" fillId="0" borderId="0" xfId="0" applyNumberFormat="1" applyFont="1" applyAlignment="1">
      <alignment horizontal="center"/>
    </xf>
    <xf numFmtId="0" fontId="3" fillId="0" borderId="0" xfId="0" applyFont="1"/>
    <xf numFmtId="166" fontId="3" fillId="0" borderId="0" xfId="0" applyNumberFormat="1" applyFont="1" applyAlignment="1">
      <alignment horizontal="right"/>
    </xf>
    <xf numFmtId="166" fontId="3" fillId="0" borderId="0" xfId="1" applyNumberFormat="1" applyFont="1" applyFill="1"/>
    <xf numFmtId="166" fontId="3" fillId="0" borderId="0" xfId="1" applyNumberFormat="1" applyFont="1" applyFill="1" applyAlignment="1">
      <alignment horizontal="right"/>
    </xf>
    <xf numFmtId="0" fontId="3" fillId="0" borderId="0" xfId="0" applyFont="1" applyAlignment="1">
      <alignment horizontal="center"/>
    </xf>
    <xf numFmtId="43" fontId="3" fillId="0" borderId="0" xfId="1" applyFont="1" applyFill="1"/>
    <xf numFmtId="167" fontId="3" fillId="0" borderId="0" xfId="0" applyNumberFormat="1" applyFont="1"/>
    <xf numFmtId="166" fontId="3" fillId="0" borderId="3" xfId="1" applyNumberFormat="1" applyFont="1" applyFill="1" applyBorder="1"/>
    <xf numFmtId="166" fontId="3" fillId="0" borderId="0" xfId="1" applyNumberFormat="1" applyFont="1" applyFill="1" applyBorder="1"/>
    <xf numFmtId="166" fontId="3" fillId="0" borderId="0" xfId="0" applyNumberFormat="1" applyFont="1"/>
    <xf numFmtId="166" fontId="3" fillId="0" borderId="4" xfId="1" applyNumberFormat="1" applyFont="1" applyFill="1" applyBorder="1"/>
    <xf numFmtId="166" fontId="3" fillId="0" borderId="0" xfId="1" applyNumberFormat="1" applyFont="1" applyFill="1" applyBorder="1" applyAlignment="1">
      <alignment horizontal="center" wrapText="1"/>
    </xf>
    <xf numFmtId="43" fontId="3" fillId="0" borderId="0" xfId="1" applyFont="1" applyFill="1" applyBorder="1"/>
    <xf numFmtId="166" fontId="3" fillId="0" borderId="5" xfId="1" applyNumberFormat="1" applyFont="1" applyFill="1" applyBorder="1"/>
    <xf numFmtId="43" fontId="3" fillId="0" borderId="0" xfId="1" applyFont="1" applyFill="1" applyBorder="1" applyAlignment="1">
      <alignment horizontal="right"/>
    </xf>
    <xf numFmtId="0" fontId="3" fillId="0" borderId="0" xfId="0" applyFont="1" applyAlignment="1">
      <alignment horizontal="left"/>
    </xf>
    <xf numFmtId="166" fontId="3" fillId="0" borderId="0" xfId="1" applyNumberFormat="1" applyFont="1" applyFill="1" applyAlignment="1">
      <alignment horizontal="center"/>
    </xf>
    <xf numFmtId="166" fontId="3" fillId="0" borderId="0" xfId="1" quotePrefix="1" applyNumberFormat="1" applyFont="1" applyFill="1" applyBorder="1" applyAlignment="1">
      <alignment horizontal="center"/>
    </xf>
    <xf numFmtId="166" fontId="3" fillId="0" borderId="0" xfId="1" applyNumberFormat="1" applyFont="1" applyFill="1" applyBorder="1" applyAlignment="1">
      <alignment horizontal="center" vertical="center" wrapText="1"/>
    </xf>
    <xf numFmtId="166" fontId="3" fillId="0" borderId="5" xfId="0" applyNumberFormat="1" applyFont="1" applyBorder="1" applyAlignment="1">
      <alignment horizontal="right"/>
    </xf>
    <xf numFmtId="43" fontId="3" fillId="0" borderId="0" xfId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center"/>
    </xf>
    <xf numFmtId="43" fontId="3" fillId="0" borderId="0" xfId="1" applyFont="1" applyFill="1" applyBorder="1" applyAlignment="1">
      <alignment horizontal="center"/>
    </xf>
    <xf numFmtId="0" fontId="4" fillId="0" borderId="0" xfId="0" quotePrefix="1" applyFont="1"/>
    <xf numFmtId="0" fontId="6" fillId="0" borderId="0" xfId="0" applyFont="1" applyAlignment="1">
      <alignment horizontal="center"/>
    </xf>
    <xf numFmtId="0" fontId="3" fillId="0" borderId="0" xfId="0" quotePrefix="1" applyFont="1"/>
    <xf numFmtId="166" fontId="3" fillId="4" borderId="0" xfId="1" applyNumberFormat="1" applyFont="1" applyFill="1" applyBorder="1"/>
    <xf numFmtId="166" fontId="3" fillId="0" borderId="0" xfId="1" quotePrefix="1" applyNumberFormat="1" applyFont="1" applyFill="1" applyBorder="1" applyAlignment="1">
      <alignment horizontal="left"/>
    </xf>
    <xf numFmtId="166" fontId="3" fillId="5" borderId="0" xfId="1" applyNumberFormat="1" applyFont="1" applyFill="1" applyBorder="1"/>
    <xf numFmtId="166" fontId="2" fillId="0" borderId="0" xfId="1" applyNumberFormat="1" applyFont="1" applyFill="1" applyBorder="1" applyAlignment="1">
      <alignment horizontal="center"/>
    </xf>
    <xf numFmtId="166" fontId="2" fillId="0" borderId="0" xfId="0" applyNumberFormat="1" applyFont="1" applyAlignment="1">
      <alignment horizontal="center"/>
    </xf>
    <xf numFmtId="166" fontId="3" fillId="6" borderId="0" xfId="1" applyNumberFormat="1" applyFont="1" applyFill="1"/>
    <xf numFmtId="166" fontId="3" fillId="0" borderId="0" xfId="1" applyNumberFormat="1" applyFont="1" applyFill="1" applyAlignment="1">
      <alignment horizontal="left"/>
    </xf>
    <xf numFmtId="166" fontId="6" fillId="0" borderId="5" xfId="1" applyNumberFormat="1" applyFont="1" applyFill="1" applyBorder="1" applyAlignment="1">
      <alignment horizontal="center" vertical="top" wrapText="1"/>
    </xf>
    <xf numFmtId="166" fontId="2" fillId="0" borderId="5" xfId="0" applyNumberFormat="1" applyFont="1" applyBorder="1"/>
    <xf numFmtId="166" fontId="6" fillId="0" borderId="5" xfId="0" applyNumberFormat="1" applyFont="1" applyBorder="1" applyAlignment="1">
      <alignment horizontal="center"/>
    </xf>
    <xf numFmtId="166" fontId="6" fillId="0" borderId="5" xfId="1" applyNumberFormat="1" applyFont="1" applyFill="1" applyBorder="1" applyAlignment="1">
      <alignment horizontal="center"/>
    </xf>
    <xf numFmtId="166" fontId="6" fillId="0" borderId="0" xfId="0" applyNumberFormat="1" applyFont="1" applyAlignment="1">
      <alignment horizontal="center"/>
    </xf>
    <xf numFmtId="166" fontId="2" fillId="0" borderId="5" xfId="1" applyNumberFormat="1" applyFont="1" applyFill="1" applyBorder="1"/>
    <xf numFmtId="167" fontId="2" fillId="0" borderId="0" xfId="0" applyNumberFormat="1" applyFont="1"/>
    <xf numFmtId="167" fontId="6" fillId="0" borderId="5" xfId="0" applyNumberFormat="1" applyFont="1" applyBorder="1" applyAlignment="1">
      <alignment horizontal="center"/>
    </xf>
    <xf numFmtId="167" fontId="3" fillId="0" borderId="0" xfId="1" applyNumberFormat="1" applyFont="1" applyFill="1" applyBorder="1"/>
    <xf numFmtId="167" fontId="2" fillId="0" borderId="0" xfId="0" applyNumberFormat="1" applyFont="1" applyAlignment="1">
      <alignment horizontal="right"/>
    </xf>
    <xf numFmtId="167" fontId="2" fillId="0" borderId="0" xfId="0" quotePrefix="1" applyNumberFormat="1" applyFont="1"/>
    <xf numFmtId="166" fontId="3" fillId="0" borderId="0" xfId="1" applyNumberFormat="1" applyFont="1" applyFill="1" applyBorder="1" applyAlignment="1">
      <alignment horizontal="right"/>
    </xf>
    <xf numFmtId="166" fontId="2" fillId="0" borderId="6" xfId="0" applyNumberFormat="1" applyFont="1" applyBorder="1"/>
    <xf numFmtId="167" fontId="2" fillId="0" borderId="7" xfId="0" applyNumberFormat="1" applyFont="1" applyBorder="1"/>
    <xf numFmtId="166" fontId="2" fillId="6" borderId="0" xfId="0" applyNumberFormat="1" applyFont="1" applyFill="1"/>
    <xf numFmtId="166" fontId="2" fillId="0" borderId="1" xfId="0" applyNumberFormat="1" applyFont="1" applyBorder="1"/>
    <xf numFmtId="166" fontId="2" fillId="0" borderId="8" xfId="0" applyNumberFormat="1" applyFont="1" applyBorder="1"/>
    <xf numFmtId="167" fontId="2" fillId="0" borderId="9" xfId="0" quotePrefix="1" applyNumberFormat="1" applyFont="1" applyBorder="1"/>
    <xf numFmtId="167" fontId="2" fillId="0" borderId="7" xfId="0" quotePrefix="1" applyNumberFormat="1" applyFont="1" applyBorder="1"/>
    <xf numFmtId="166" fontId="2" fillId="0" borderId="10" xfId="0" applyNumberFormat="1" applyFont="1" applyBorder="1"/>
    <xf numFmtId="166" fontId="2" fillId="6" borderId="0" xfId="1" applyNumberFormat="1" applyFont="1" applyFill="1"/>
    <xf numFmtId="166" fontId="2" fillId="6" borderId="0" xfId="1" applyNumberFormat="1" applyFont="1" applyFill="1" applyBorder="1"/>
    <xf numFmtId="167" fontId="2" fillId="0" borderId="11" xfId="0" quotePrefix="1" applyNumberFormat="1" applyFont="1" applyBorder="1"/>
    <xf numFmtId="166" fontId="2" fillId="0" borderId="12" xfId="0" applyNumberFormat="1" applyFont="1" applyBorder="1"/>
    <xf numFmtId="166" fontId="2" fillId="0" borderId="3" xfId="0" applyNumberFormat="1" applyFont="1" applyBorder="1"/>
    <xf numFmtId="166" fontId="2" fillId="0" borderId="4" xfId="0" applyNumberFormat="1" applyFont="1" applyBorder="1"/>
    <xf numFmtId="164" fontId="2" fillId="0" borderId="0" xfId="0" applyNumberFormat="1" applyFont="1"/>
    <xf numFmtId="166" fontId="2" fillId="7" borderId="0" xfId="0" applyNumberFormat="1" applyFont="1" applyFill="1"/>
    <xf numFmtId="166" fontId="3" fillId="6" borderId="0" xfId="1" applyNumberFormat="1" applyFont="1" applyFill="1" applyAlignment="1">
      <alignment horizontal="right"/>
    </xf>
    <xf numFmtId="166" fontId="3" fillId="6" borderId="5" xfId="1" applyNumberFormat="1" applyFont="1" applyFill="1" applyBorder="1"/>
    <xf numFmtId="166" fontId="2" fillId="5" borderId="1" xfId="0" applyNumberFormat="1" applyFont="1" applyFill="1" applyBorder="1"/>
    <xf numFmtId="166" fontId="2" fillId="5" borderId="0" xfId="0" applyNumberFormat="1" applyFont="1" applyFill="1"/>
    <xf numFmtId="166" fontId="3" fillId="6" borderId="1" xfId="1" applyNumberFormat="1" applyFont="1" applyFill="1" applyBorder="1"/>
    <xf numFmtId="166" fontId="18" fillId="0" borderId="0" xfId="1" applyNumberFormat="1" applyFont="1" applyFill="1" applyAlignment="1">
      <alignment horizontal="left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/>
    <xf numFmtId="166" fontId="18" fillId="0" borderId="0" xfId="1" applyNumberFormat="1" applyFont="1" applyFill="1" applyBorder="1" applyAlignment="1">
      <alignment horizontal="center"/>
    </xf>
    <xf numFmtId="166" fontId="18" fillId="0" borderId="0" xfId="0" applyNumberFormat="1" applyFont="1" applyAlignment="1">
      <alignment horizontal="center"/>
    </xf>
    <xf numFmtId="167" fontId="18" fillId="0" borderId="0" xfId="0" applyNumberFormat="1" applyFont="1"/>
    <xf numFmtId="0" fontId="18" fillId="0" borderId="0" xfId="0" applyFont="1"/>
    <xf numFmtId="166" fontId="18" fillId="0" borderId="0" xfId="1" applyNumberFormat="1" applyFont="1" applyFill="1" applyBorder="1"/>
    <xf numFmtId="166" fontId="18" fillId="0" borderId="5" xfId="1" quotePrefix="1" applyNumberFormat="1" applyFont="1" applyFill="1" applyBorder="1" applyAlignment="1">
      <alignment horizontal="left"/>
    </xf>
    <xf numFmtId="166" fontId="18" fillId="0" borderId="5" xfId="1" applyNumberFormat="1" applyFont="1" applyFill="1" applyBorder="1" applyAlignment="1">
      <alignment horizontal="center"/>
    </xf>
    <xf numFmtId="166" fontId="18" fillId="0" borderId="5" xfId="0" applyNumberFormat="1" applyFont="1" applyBorder="1"/>
    <xf numFmtId="166" fontId="18" fillId="0" borderId="5" xfId="1" applyNumberFormat="1" applyFont="1" applyFill="1" applyBorder="1"/>
    <xf numFmtId="167" fontId="18" fillId="0" borderId="5" xfId="0" applyNumberFormat="1" applyFont="1" applyBorder="1"/>
    <xf numFmtId="166" fontId="18" fillId="0" borderId="0" xfId="1" quotePrefix="1" applyNumberFormat="1" applyFont="1" applyFill="1" applyBorder="1" applyAlignment="1">
      <alignment horizontal="left"/>
    </xf>
    <xf numFmtId="166" fontId="18" fillId="0" borderId="5" xfId="0" applyNumberFormat="1" applyFont="1" applyBorder="1" applyAlignment="1">
      <alignment horizontal="center"/>
    </xf>
    <xf numFmtId="0" fontId="18" fillId="0" borderId="0" xfId="0" applyFont="1" applyAlignment="1">
      <alignment horizontal="center"/>
    </xf>
    <xf numFmtId="166" fontId="18" fillId="0" borderId="5" xfId="1" applyNumberFormat="1" applyFont="1" applyFill="1" applyBorder="1" applyAlignment="1">
      <alignment horizontal="center" vertical="top" wrapText="1"/>
    </xf>
    <xf numFmtId="167" fontId="18" fillId="0" borderId="5" xfId="0" applyNumberFormat="1" applyFont="1" applyBorder="1" applyAlignment="1">
      <alignment horizontal="center"/>
    </xf>
    <xf numFmtId="0" fontId="18" fillId="0" borderId="0" xfId="0" applyFont="1" applyAlignment="1">
      <alignment horizontal="left"/>
    </xf>
    <xf numFmtId="166" fontId="18" fillId="0" borderId="0" xfId="1" applyNumberFormat="1" applyFont="1" applyFill="1" applyBorder="1" applyAlignment="1">
      <alignment horizontal="center" vertical="top" wrapText="1"/>
    </xf>
    <xf numFmtId="167" fontId="18" fillId="0" borderId="0" xfId="0" applyNumberFormat="1" applyFont="1" applyAlignment="1">
      <alignment horizontal="center"/>
    </xf>
    <xf numFmtId="173" fontId="18" fillId="0" borderId="0" xfId="0" applyNumberFormat="1" applyFont="1" applyAlignment="1">
      <alignment horizontal="right"/>
    </xf>
    <xf numFmtId="166" fontId="18" fillId="0" borderId="0" xfId="1" applyNumberFormat="1" applyFont="1" applyFill="1"/>
    <xf numFmtId="0" fontId="18" fillId="0" borderId="5" xfId="0" applyFont="1" applyBorder="1"/>
    <xf numFmtId="167" fontId="18" fillId="0" borderId="0" xfId="0" quotePrefix="1" applyNumberFormat="1" applyFont="1"/>
    <xf numFmtId="166" fontId="18" fillId="0" borderId="9" xfId="1" applyNumberFormat="1" applyFont="1" applyFill="1" applyBorder="1"/>
    <xf numFmtId="166" fontId="18" fillId="0" borderId="13" xfId="0" applyNumberFormat="1" applyFont="1" applyBorder="1"/>
    <xf numFmtId="166" fontId="18" fillId="0" borderId="13" xfId="1" applyNumberFormat="1" applyFont="1" applyFill="1" applyBorder="1"/>
    <xf numFmtId="166" fontId="18" fillId="0" borderId="6" xfId="0" applyNumberFormat="1" applyFont="1" applyBorder="1"/>
    <xf numFmtId="0" fontId="18" fillId="0" borderId="10" xfId="0" applyFont="1" applyBorder="1"/>
    <xf numFmtId="166" fontId="18" fillId="0" borderId="7" xfId="1" applyNumberFormat="1" applyFont="1" applyFill="1" applyBorder="1"/>
    <xf numFmtId="166" fontId="18" fillId="0" borderId="10" xfId="0" applyNumberFormat="1" applyFont="1" applyBorder="1"/>
    <xf numFmtId="0" fontId="18" fillId="0" borderId="1" xfId="0" applyFont="1" applyBorder="1"/>
    <xf numFmtId="166" fontId="18" fillId="0" borderId="3" xfId="1" applyNumberFormat="1" applyFont="1" applyFill="1" applyBorder="1"/>
    <xf numFmtId="0" fontId="19" fillId="0" borderId="0" xfId="0" applyFont="1"/>
    <xf numFmtId="166" fontId="18" fillId="7" borderId="0" xfId="0" applyNumberFormat="1" applyFont="1" applyFill="1"/>
    <xf numFmtId="166" fontId="18" fillId="7" borderId="4" xfId="0" applyNumberFormat="1" applyFont="1" applyFill="1" applyBorder="1"/>
    <xf numFmtId="0" fontId="20" fillId="0" borderId="0" xfId="0" applyFont="1"/>
    <xf numFmtId="167" fontId="18" fillId="0" borderId="0" xfId="1" applyNumberFormat="1" applyFont="1" applyFill="1" applyBorder="1"/>
    <xf numFmtId="0" fontId="18" fillId="0" borderId="0" xfId="0" quotePrefix="1" applyFont="1"/>
    <xf numFmtId="0" fontId="21" fillId="0" borderId="0" xfId="0" quotePrefix="1" applyFont="1"/>
    <xf numFmtId="166" fontId="18" fillId="0" borderId="0" xfId="1" applyNumberFormat="1" applyFont="1" applyFill="1" applyBorder="1" applyAlignment="1">
      <alignment horizontal="right"/>
    </xf>
    <xf numFmtId="166" fontId="18" fillId="4" borderId="0" xfId="1" applyNumberFormat="1" applyFont="1" applyFill="1" applyBorder="1"/>
    <xf numFmtId="167" fontId="18" fillId="0" borderId="0" xfId="0" applyNumberFormat="1" applyFont="1" applyAlignment="1">
      <alignment horizontal="right"/>
    </xf>
    <xf numFmtId="166" fontId="18" fillId="5" borderId="0" xfId="1" applyNumberFormat="1" applyFont="1" applyFill="1" applyBorder="1"/>
    <xf numFmtId="166" fontId="18" fillId="0" borderId="0" xfId="0" applyNumberFormat="1" applyFont="1" applyAlignment="1">
      <alignment horizontal="right"/>
    </xf>
    <xf numFmtId="166" fontId="18" fillId="0" borderId="0" xfId="1" applyNumberFormat="1" applyFont="1" applyFill="1" applyBorder="1" applyAlignment="1">
      <alignment horizontal="left"/>
    </xf>
    <xf numFmtId="43" fontId="7" fillId="0" borderId="0" xfId="1" applyFont="1" applyFill="1"/>
    <xf numFmtId="43" fontId="7" fillId="0" borderId="0" xfId="1" applyFont="1" applyFill="1" applyBorder="1"/>
    <xf numFmtId="167" fontId="17" fillId="0" borderId="0" xfId="0" applyNumberFormat="1" applyFont="1"/>
    <xf numFmtId="43" fontId="18" fillId="0" borderId="0" xfId="1" applyFont="1" applyFill="1" applyBorder="1"/>
    <xf numFmtId="166" fontId="18" fillId="0" borderId="0" xfId="1" applyNumberFormat="1" applyFont="1" applyFill="1" applyAlignment="1"/>
    <xf numFmtId="43" fontId="18" fillId="0" borderId="0" xfId="1" applyFont="1" applyFill="1" applyAlignment="1">
      <alignment horizontal="center"/>
    </xf>
    <xf numFmtId="43" fontId="18" fillId="0" borderId="0" xfId="1" applyFont="1" applyFill="1"/>
    <xf numFmtId="0" fontId="18" fillId="0" borderId="0" xfId="1" applyNumberFormat="1" applyFont="1" applyFill="1" applyAlignment="1">
      <alignment horizontal="center"/>
    </xf>
    <xf numFmtId="4" fontId="18" fillId="0" borderId="0" xfId="1" applyNumberFormat="1" applyFont="1" applyFill="1"/>
    <xf numFmtId="0" fontId="18" fillId="0" borderId="0" xfId="1" applyNumberFormat="1" applyFont="1" applyFill="1" applyBorder="1" applyAlignment="1">
      <alignment horizontal="center"/>
    </xf>
    <xf numFmtId="43" fontId="18" fillId="0" borderId="0" xfId="1" applyFont="1" applyFill="1" applyBorder="1" applyAlignment="1">
      <alignment horizontal="center"/>
    </xf>
    <xf numFmtId="166" fontId="23" fillId="0" borderId="0" xfId="1" applyNumberFormat="1" applyFont="1" applyFill="1" applyBorder="1" applyAlignment="1">
      <alignment horizontal="center"/>
    </xf>
    <xf numFmtId="43" fontId="23" fillId="0" borderId="0" xfId="1" applyFont="1" applyFill="1" applyBorder="1"/>
    <xf numFmtId="166" fontId="3" fillId="0" borderId="13" xfId="1" applyNumberFormat="1" applyFont="1" applyFill="1" applyBorder="1" applyAlignment="1">
      <alignment horizontal="center"/>
    </xf>
    <xf numFmtId="0" fontId="18" fillId="0" borderId="0" xfId="1" applyNumberFormat="1" applyFont="1" applyFill="1" applyBorder="1" applyAlignment="1">
      <alignment horizontal="left"/>
    </xf>
    <xf numFmtId="43" fontId="3" fillId="0" borderId="0" xfId="0" applyNumberFormat="1" applyFont="1"/>
    <xf numFmtId="43" fontId="3" fillId="0" borderId="5" xfId="1" applyFont="1" applyFill="1" applyBorder="1"/>
    <xf numFmtId="43" fontId="3" fillId="0" borderId="13" xfId="1" applyFont="1" applyFill="1" applyBorder="1"/>
    <xf numFmtId="43" fontId="3" fillId="0" borderId="3" xfId="1" applyFont="1" applyFill="1" applyBorder="1"/>
    <xf numFmtId="43" fontId="3" fillId="0" borderId="0" xfId="1" applyFont="1" applyFill="1" applyAlignment="1">
      <alignment horizontal="right"/>
    </xf>
    <xf numFmtId="43" fontId="3" fillId="0" borderId="4" xfId="1" applyFont="1" applyFill="1" applyBorder="1"/>
    <xf numFmtId="43" fontId="18" fillId="0" borderId="5" xfId="1" applyFont="1" applyFill="1" applyBorder="1"/>
    <xf numFmtId="43" fontId="18" fillId="0" borderId="14" xfId="1" applyFont="1" applyFill="1" applyBorder="1"/>
    <xf numFmtId="43" fontId="6" fillId="0" borderId="0" xfId="1" applyFont="1" applyFill="1" applyBorder="1" applyAlignment="1">
      <alignment horizontal="center"/>
    </xf>
    <xf numFmtId="43" fontId="3" fillId="0" borderId="0" xfId="0" applyNumberFormat="1" applyFont="1" applyAlignment="1">
      <alignment horizontal="center"/>
    </xf>
    <xf numFmtId="43" fontId="3" fillId="0" borderId="14" xfId="1" applyFont="1" applyFill="1" applyBorder="1"/>
    <xf numFmtId="43" fontId="3" fillId="0" borderId="5" xfId="1" applyFont="1" applyFill="1" applyBorder="1" applyAlignment="1">
      <alignment horizontal="right"/>
    </xf>
    <xf numFmtId="43" fontId="3" fillId="0" borderId="3" xfId="1" applyFont="1" applyFill="1" applyBorder="1" applyAlignment="1">
      <alignment horizontal="right"/>
    </xf>
    <xf numFmtId="43" fontId="3" fillId="0" borderId="4" xfId="1" applyFont="1" applyFill="1" applyBorder="1" applyAlignment="1">
      <alignment horizontal="right"/>
    </xf>
    <xf numFmtId="165" fontId="3" fillId="0" borderId="15" xfId="1" applyNumberFormat="1" applyFont="1" applyFill="1" applyBorder="1"/>
    <xf numFmtId="175" fontId="3" fillId="0" borderId="14" xfId="1" applyNumberFormat="1" applyFont="1" applyFill="1" applyBorder="1"/>
    <xf numFmtId="166" fontId="3" fillId="0" borderId="5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43" fontId="18" fillId="0" borderId="5" xfId="1" applyFont="1" applyFill="1" applyBorder="1" applyAlignment="1">
      <alignment horizontal="center"/>
    </xf>
    <xf numFmtId="43" fontId="3" fillId="0" borderId="0" xfId="0" applyNumberFormat="1" applyFont="1" applyAlignment="1">
      <alignment horizontal="right"/>
    </xf>
    <xf numFmtId="167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175" fontId="3" fillId="0" borderId="0" xfId="0" applyNumberFormat="1" applyFont="1" applyAlignment="1">
      <alignment horizontal="right"/>
    </xf>
    <xf numFmtId="175" fontId="3" fillId="0" borderId="0" xfId="0" applyNumberFormat="1" applyFont="1"/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2" fillId="0" borderId="0" xfId="12" applyFont="1"/>
    <xf numFmtId="0" fontId="2" fillId="0" borderId="0" xfId="12" applyFont="1" applyAlignment="1">
      <alignment horizontal="center"/>
    </xf>
    <xf numFmtId="0" fontId="3" fillId="0" borderId="0" xfId="12" applyFont="1" applyAlignment="1">
      <alignment horizontal="center"/>
    </xf>
    <xf numFmtId="0" fontId="3" fillId="0" borderId="0" xfId="12" applyFont="1"/>
    <xf numFmtId="166" fontId="3" fillId="0" borderId="0" xfId="12" applyNumberFormat="1" applyFont="1" applyAlignment="1">
      <alignment horizontal="center"/>
    </xf>
    <xf numFmtId="43" fontId="3" fillId="0" borderId="0" xfId="12" applyNumberFormat="1" applyFont="1"/>
    <xf numFmtId="43" fontId="3" fillId="0" borderId="0" xfId="12" applyNumberFormat="1" applyFont="1" applyAlignment="1">
      <alignment horizontal="center"/>
    </xf>
    <xf numFmtId="0" fontId="3" fillId="0" borderId="0" xfId="12" applyFont="1" applyAlignment="1">
      <alignment horizontal="left"/>
    </xf>
    <xf numFmtId="166" fontId="3" fillId="0" borderId="0" xfId="12" applyNumberFormat="1" applyFont="1" applyAlignment="1">
      <alignment horizontal="left"/>
    </xf>
    <xf numFmtId="0" fontId="6" fillId="0" borderId="0" xfId="12" applyFont="1" applyAlignment="1">
      <alignment horizontal="center"/>
    </xf>
    <xf numFmtId="166" fontId="3" fillId="0" borderId="0" xfId="12" applyNumberFormat="1" applyFont="1"/>
    <xf numFmtId="43" fontId="2" fillId="0" borderId="0" xfId="12" applyNumberFormat="1" applyFont="1"/>
    <xf numFmtId="167" fontId="17" fillId="0" borderId="0" xfId="12" applyNumberFormat="1" applyFont="1"/>
    <xf numFmtId="166" fontId="2" fillId="0" borderId="0" xfId="12" applyNumberFormat="1" applyFont="1"/>
    <xf numFmtId="0" fontId="2" fillId="8" borderId="0" xfId="12" applyFont="1" applyFill="1"/>
    <xf numFmtId="166" fontId="17" fillId="0" borderId="0" xfId="12" applyNumberFormat="1" applyFont="1" applyAlignment="1">
      <alignment horizontal="center"/>
    </xf>
    <xf numFmtId="166" fontId="3" fillId="0" borderId="13" xfId="12" applyNumberFormat="1" applyFont="1" applyBorder="1" applyAlignment="1">
      <alignment horizontal="left"/>
    </xf>
    <xf numFmtId="166" fontId="3" fillId="0" borderId="13" xfId="12" applyNumberFormat="1" applyFont="1" applyBorder="1" applyAlignment="1">
      <alignment horizontal="center"/>
    </xf>
    <xf numFmtId="0" fontId="3" fillId="0" borderId="5" xfId="12" applyFont="1" applyBorder="1" applyAlignment="1">
      <alignment horizontal="center"/>
    </xf>
    <xf numFmtId="166" fontId="3" fillId="0" borderId="5" xfId="12" applyNumberFormat="1" applyFont="1" applyBorder="1" applyAlignment="1">
      <alignment horizontal="center"/>
    </xf>
    <xf numFmtId="0" fontId="23" fillId="0" borderId="0" xfId="12" applyFont="1"/>
    <xf numFmtId="0" fontId="18" fillId="0" borderId="0" xfId="12" applyFont="1"/>
    <xf numFmtId="166" fontId="22" fillId="0" borderId="0" xfId="12" applyNumberFormat="1" applyFont="1" applyAlignment="1">
      <alignment horizontal="center"/>
    </xf>
    <xf numFmtId="166" fontId="18" fillId="0" borderId="0" xfId="12" applyNumberFormat="1" applyFont="1" applyAlignment="1">
      <alignment horizontal="center"/>
    </xf>
    <xf numFmtId="166" fontId="25" fillId="0" borderId="0" xfId="12" applyNumberFormat="1" applyFont="1" applyAlignment="1">
      <alignment horizontal="center"/>
    </xf>
    <xf numFmtId="0" fontId="18" fillId="0" borderId="0" xfId="12" applyFont="1" applyAlignment="1">
      <alignment horizontal="center"/>
    </xf>
    <xf numFmtId="0" fontId="25" fillId="0" borderId="5" xfId="12" applyFont="1" applyBorder="1" applyAlignment="1">
      <alignment horizontal="center"/>
    </xf>
    <xf numFmtId="166" fontId="18" fillId="0" borderId="5" xfId="12" applyNumberFormat="1" applyFont="1" applyBorder="1" applyAlignment="1">
      <alignment horizontal="center"/>
    </xf>
    <xf numFmtId="0" fontId="18" fillId="0" borderId="5" xfId="12" applyFont="1" applyBorder="1" applyAlignment="1">
      <alignment horizontal="center"/>
    </xf>
    <xf numFmtId="166" fontId="16" fillId="0" borderId="13" xfId="12" applyNumberFormat="1" applyFont="1" applyBorder="1" applyAlignment="1">
      <alignment horizontal="center"/>
    </xf>
    <xf numFmtId="166" fontId="16" fillId="0" borderId="0" xfId="12" applyNumberFormat="1" applyFont="1" applyAlignment="1">
      <alignment horizontal="center"/>
    </xf>
    <xf numFmtId="166" fontId="18" fillId="0" borderId="0" xfId="12" applyNumberFormat="1" applyFont="1"/>
    <xf numFmtId="0" fontId="25" fillId="0" borderId="0" xfId="12" applyFont="1"/>
    <xf numFmtId="43" fontId="18" fillId="0" borderId="0" xfId="12" applyNumberFormat="1" applyFont="1"/>
    <xf numFmtId="167" fontId="18" fillId="0" borderId="0" xfId="12" applyNumberFormat="1" applyFont="1"/>
    <xf numFmtId="167" fontId="22" fillId="0" borderId="0" xfId="12" applyNumberFormat="1" applyFont="1"/>
    <xf numFmtId="0" fontId="18" fillId="0" borderId="0" xfId="12" applyFont="1" applyAlignment="1">
      <alignment horizontal="left"/>
    </xf>
    <xf numFmtId="43" fontId="3" fillId="8" borderId="0" xfId="0" applyNumberFormat="1" applyFont="1" applyFill="1" applyAlignment="1">
      <alignment horizontal="center"/>
    </xf>
    <xf numFmtId="166" fontId="3" fillId="0" borderId="0" xfId="13" applyNumberFormat="1" applyFont="1" applyFill="1" applyBorder="1"/>
    <xf numFmtId="166" fontId="3" fillId="0" borderId="0" xfId="13" applyNumberFormat="1" applyFont="1" applyFill="1" applyBorder="1" applyAlignment="1">
      <alignment horizontal="right" vertical="center" wrapText="1"/>
    </xf>
    <xf numFmtId="49" fontId="3" fillId="0" borderId="0" xfId="13" applyNumberFormat="1" applyFont="1" applyFill="1" applyBorder="1" applyAlignment="1">
      <alignment horizontal="center"/>
    </xf>
    <xf numFmtId="43" fontId="3" fillId="0" borderId="0" xfId="13" applyFont="1" applyFill="1" applyAlignment="1">
      <alignment horizontal="right"/>
    </xf>
    <xf numFmtId="43" fontId="3" fillId="8" borderId="0" xfId="13" applyFont="1" applyFill="1" applyBorder="1"/>
    <xf numFmtId="43" fontId="3" fillId="0" borderId="0" xfId="13" applyFont="1" applyFill="1" applyBorder="1"/>
    <xf numFmtId="43" fontId="3" fillId="0" borderId="0" xfId="13" applyFont="1" applyFill="1"/>
    <xf numFmtId="43" fontId="3" fillId="0" borderId="3" xfId="13" applyFont="1" applyFill="1" applyBorder="1"/>
    <xf numFmtId="43" fontId="3" fillId="0" borderId="5" xfId="13" applyFont="1" applyFill="1" applyBorder="1"/>
    <xf numFmtId="43" fontId="3" fillId="0" borderId="5" xfId="13" applyFont="1" applyFill="1" applyBorder="1" applyAlignment="1">
      <alignment horizontal="right"/>
    </xf>
    <xf numFmtId="43" fontId="3" fillId="0" borderId="0" xfId="13" applyFont="1" applyFill="1" applyBorder="1" applyAlignment="1">
      <alignment horizontal="right"/>
    </xf>
    <xf numFmtId="43" fontId="3" fillId="8" borderId="0" xfId="13" applyFont="1" applyFill="1" applyBorder="1" applyAlignment="1">
      <alignment horizontal="right"/>
    </xf>
    <xf numFmtId="43" fontId="17" fillId="0" borderId="0" xfId="13" applyFont="1" applyFill="1" applyBorder="1"/>
    <xf numFmtId="43" fontId="3" fillId="0" borderId="0" xfId="13" applyFont="1" applyFill="1" applyBorder="1" applyAlignment="1">
      <alignment horizontal="center"/>
    </xf>
    <xf numFmtId="166" fontId="3" fillId="0" borderId="0" xfId="13" applyNumberFormat="1" applyFont="1" applyFill="1" applyBorder="1" applyAlignment="1">
      <alignment horizontal="center"/>
    </xf>
    <xf numFmtId="0" fontId="3" fillId="0" borderId="0" xfId="13" applyNumberFormat="1" applyFont="1" applyFill="1" applyBorder="1" applyAlignment="1">
      <alignment horizontal="center"/>
    </xf>
    <xf numFmtId="49" fontId="3" fillId="0" borderId="0" xfId="0" applyNumberFormat="1" applyFont="1"/>
    <xf numFmtId="168" fontId="3" fillId="0" borderId="0" xfId="0" applyNumberFormat="1" applyFont="1" applyAlignment="1">
      <alignment horizontal="center"/>
    </xf>
    <xf numFmtId="38" fontId="3" fillId="0" borderId="0" xfId="14" applyNumberFormat="1" applyFont="1" applyAlignment="1">
      <alignment vertical="center"/>
    </xf>
    <xf numFmtId="0" fontId="17" fillId="0" borderId="0" xfId="0" applyFont="1" applyAlignment="1">
      <alignment horizontal="center"/>
    </xf>
    <xf numFmtId="43" fontId="17" fillId="8" borderId="0" xfId="13" applyFont="1" applyFill="1" applyBorder="1"/>
    <xf numFmtId="1" fontId="3" fillId="0" borderId="0" xfId="0" applyNumberFormat="1" applyFont="1" applyAlignment="1">
      <alignment horizontal="center"/>
    </xf>
    <xf numFmtId="175" fontId="3" fillId="0" borderId="0" xfId="13" applyNumberFormat="1" applyFont="1" applyFill="1" applyBorder="1"/>
    <xf numFmtId="165" fontId="3" fillId="8" borderId="0" xfId="13" applyNumberFormat="1" applyFont="1" applyFill="1" applyBorder="1"/>
    <xf numFmtId="165" fontId="3" fillId="0" borderId="0" xfId="13" applyNumberFormat="1" applyFont="1" applyFill="1" applyBorder="1"/>
    <xf numFmtId="0" fontId="3" fillId="0" borderId="0" xfId="13" quotePrefix="1" applyNumberFormat="1" applyFont="1" applyFill="1" applyBorder="1" applyAlignment="1">
      <alignment horizontal="center"/>
    </xf>
    <xf numFmtId="166" fontId="3" fillId="0" borderId="0" xfId="13" quotePrefix="1" applyNumberFormat="1" applyFont="1" applyFill="1" applyBorder="1" applyAlignment="1">
      <alignment horizontal="center"/>
    </xf>
    <xf numFmtId="167" fontId="3" fillId="8" borderId="0" xfId="0" applyNumberFormat="1" applyFont="1" applyFill="1" applyAlignment="1">
      <alignment horizontal="center"/>
    </xf>
    <xf numFmtId="168" fontId="3" fillId="8" borderId="0" xfId="0" applyNumberFormat="1" applyFont="1" applyFill="1" applyAlignment="1">
      <alignment horizontal="center"/>
    </xf>
    <xf numFmtId="0" fontId="3" fillId="8" borderId="0" xfId="0" applyFont="1" applyFill="1" applyAlignment="1">
      <alignment horizontal="center"/>
    </xf>
    <xf numFmtId="43" fontId="3" fillId="0" borderId="0" xfId="1" applyFont="1"/>
    <xf numFmtId="43" fontId="3" fillId="0" borderId="0" xfId="1" applyFont="1" applyBorder="1"/>
    <xf numFmtId="39" fontId="17" fillId="0" borderId="0" xfId="0" applyNumberFormat="1" applyFont="1"/>
    <xf numFmtId="4" fontId="3" fillId="0" borderId="0" xfId="0" applyNumberFormat="1" applyFont="1"/>
    <xf numFmtId="0" fontId="17" fillId="0" borderId="0" xfId="0" applyFont="1"/>
    <xf numFmtId="0" fontId="3" fillId="0" borderId="0" xfId="1" applyNumberFormat="1" applyFont="1" applyFill="1" applyBorder="1" applyAlignment="1">
      <alignment horizontal="center"/>
    </xf>
    <xf numFmtId="49" fontId="3" fillId="0" borderId="0" xfId="1" applyNumberFormat="1" applyFont="1" applyFill="1" applyBorder="1" applyAlignment="1">
      <alignment horizontal="center"/>
    </xf>
    <xf numFmtId="174" fontId="17" fillId="0" borderId="0" xfId="13" applyNumberFormat="1" applyFont="1" applyFill="1" applyBorder="1"/>
    <xf numFmtId="43" fontId="17" fillId="0" borderId="0" xfId="0" applyNumberFormat="1" applyFont="1"/>
    <xf numFmtId="166" fontId="17" fillId="0" borderId="0" xfId="0" applyNumberFormat="1" applyFont="1"/>
    <xf numFmtId="43" fontId="17" fillId="0" borderId="0" xfId="1" applyFont="1" applyFill="1" applyBorder="1"/>
    <xf numFmtId="43" fontId="17" fillId="0" borderId="0" xfId="1" applyFont="1" applyFill="1"/>
    <xf numFmtId="174" fontId="17" fillId="0" borderId="0" xfId="1" applyNumberFormat="1" applyFont="1" applyFill="1" applyBorder="1"/>
    <xf numFmtId="38" fontId="3" fillId="0" borderId="0" xfId="0" applyNumberFormat="1" applyFont="1"/>
    <xf numFmtId="167" fontId="22" fillId="0" borderId="0" xfId="0" applyNumberFormat="1" applyFont="1"/>
    <xf numFmtId="166" fontId="25" fillId="0" borderId="0" xfId="0" applyNumberFormat="1" applyFont="1"/>
    <xf numFmtId="166" fontId="27" fillId="0" borderId="0" xfId="0" applyNumberFormat="1" applyFont="1"/>
    <xf numFmtId="166" fontId="3" fillId="0" borderId="0" xfId="9" applyNumberFormat="1" applyFont="1"/>
    <xf numFmtId="166" fontId="30" fillId="0" borderId="0" xfId="0" applyNumberFormat="1" applyFont="1"/>
    <xf numFmtId="0" fontId="28" fillId="0" borderId="0" xfId="0" applyFont="1"/>
    <xf numFmtId="0" fontId="15" fillId="0" borderId="0" xfId="12" applyFont="1"/>
    <xf numFmtId="0" fontId="2" fillId="0" borderId="5" xfId="12" applyFont="1" applyBorder="1" applyAlignment="1">
      <alignment horizontal="center"/>
    </xf>
    <xf numFmtId="0" fontId="2" fillId="0" borderId="3" xfId="12" quotePrefix="1" applyFont="1" applyBorder="1" applyAlignment="1">
      <alignment horizontal="center"/>
    </xf>
    <xf numFmtId="0" fontId="2" fillId="0" borderId="0" xfId="12" quotePrefix="1" applyFont="1" applyAlignment="1">
      <alignment horizontal="center"/>
    </xf>
    <xf numFmtId="0" fontId="2" fillId="0" borderId="3" xfId="12" applyFont="1" applyBorder="1" applyAlignment="1">
      <alignment horizontal="center"/>
    </xf>
    <xf numFmtId="43" fontId="3" fillId="0" borderId="0" xfId="12" applyNumberFormat="1" applyFont="1" applyAlignment="1">
      <alignment horizontal="right"/>
    </xf>
    <xf numFmtId="38" fontId="3" fillId="0" borderId="0" xfId="12" applyNumberFormat="1" applyFont="1"/>
    <xf numFmtId="167" fontId="3" fillId="0" borderId="0" xfId="12" applyNumberFormat="1" applyFont="1"/>
    <xf numFmtId="166" fontId="3" fillId="0" borderId="0" xfId="12" applyNumberFormat="1" applyFont="1" applyAlignment="1">
      <alignment horizontal="right"/>
    </xf>
    <xf numFmtId="0" fontId="3" fillId="0" borderId="0" xfId="12" quotePrefix="1" applyFont="1"/>
    <xf numFmtId="43" fontId="3" fillId="0" borderId="14" xfId="12" applyNumberFormat="1" applyFont="1" applyBorder="1" applyAlignment="1">
      <alignment horizontal="right"/>
    </xf>
    <xf numFmtId="0" fontId="4" fillId="0" borderId="0" xfId="12" quotePrefix="1" applyFont="1"/>
    <xf numFmtId="168" fontId="3" fillId="0" borderId="0" xfId="12" applyNumberFormat="1" applyFont="1" applyAlignment="1">
      <alignment horizontal="center"/>
    </xf>
    <xf numFmtId="43" fontId="3" fillId="0" borderId="5" xfId="12" applyNumberFormat="1" applyFont="1" applyBorder="1" applyAlignment="1">
      <alignment horizontal="right"/>
    </xf>
    <xf numFmtId="43" fontId="2" fillId="0" borderId="0" xfId="12" applyNumberFormat="1" applyFont="1" applyAlignment="1">
      <alignment horizontal="center"/>
    </xf>
    <xf numFmtId="0" fontId="26" fillId="0" borderId="0" xfId="12" applyFont="1" applyAlignment="1">
      <alignment horizontal="center"/>
    </xf>
    <xf numFmtId="0" fontId="3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43" fontId="3" fillId="0" borderId="0" xfId="13" applyFont="1" applyFill="1" applyBorder="1" applyAlignment="1">
      <alignment vertical="center"/>
    </xf>
    <xf numFmtId="43" fontId="3" fillId="0" borderId="0" xfId="0" applyNumberFormat="1" applyFont="1" applyAlignment="1">
      <alignment vertical="center"/>
    </xf>
    <xf numFmtId="43" fontId="3" fillId="0" borderId="0" xfId="13" applyFont="1" applyFill="1" applyAlignment="1">
      <alignment horizontal="right" vertical="center"/>
    </xf>
    <xf numFmtId="43" fontId="3" fillId="0" borderId="0" xfId="13" applyFont="1" applyFill="1" applyAlignment="1">
      <alignment vertical="center"/>
    </xf>
    <xf numFmtId="43" fontId="3" fillId="0" borderId="5" xfId="0" applyNumberFormat="1" applyFont="1" applyBorder="1" applyAlignment="1">
      <alignment horizontal="right"/>
    </xf>
    <xf numFmtId="43" fontId="3" fillId="0" borderId="4" xfId="0" applyNumberFormat="1" applyFont="1" applyBorder="1" applyAlignment="1">
      <alignment horizontal="right"/>
    </xf>
    <xf numFmtId="165" fontId="2" fillId="0" borderId="0" xfId="0" applyNumberFormat="1" applyFont="1"/>
    <xf numFmtId="0" fontId="15" fillId="0" borderId="0" xfId="0" applyFont="1" applyAlignment="1">
      <alignment horizontal="center"/>
    </xf>
    <xf numFmtId="166" fontId="3" fillId="0" borderId="5" xfId="0" applyNumberFormat="1" applyFont="1" applyBorder="1"/>
    <xf numFmtId="0" fontId="3" fillId="0" borderId="5" xfId="0" applyFont="1" applyBorder="1" applyAlignment="1">
      <alignment horizontal="center"/>
    </xf>
    <xf numFmtId="167" fontId="7" fillId="0" borderId="0" xfId="0" applyNumberFormat="1" applyFont="1"/>
    <xf numFmtId="166" fontId="7" fillId="0" borderId="0" xfId="0" applyNumberFormat="1" applyFont="1"/>
    <xf numFmtId="0" fontId="7" fillId="0" borderId="0" xfId="0" applyFont="1" applyAlignment="1">
      <alignment horizontal="center"/>
    </xf>
    <xf numFmtId="43" fontId="3" fillId="0" borderId="5" xfId="0" applyNumberFormat="1" applyFont="1" applyBorder="1"/>
    <xf numFmtId="166" fontId="3" fillId="0" borderId="0" xfId="1" applyNumberFormat="1" applyFont="1" applyFill="1" applyAlignment="1">
      <alignment horizontal="center"/>
    </xf>
    <xf numFmtId="166" fontId="2" fillId="0" borderId="5" xfId="12" applyNumberFormat="1" applyFont="1" applyBorder="1" applyAlignment="1">
      <alignment horizontal="center"/>
    </xf>
    <xf numFmtId="166" fontId="15" fillId="0" borderId="3" xfId="12" applyNumberFormat="1" applyFont="1" applyBorder="1" applyAlignment="1">
      <alignment horizontal="center"/>
    </xf>
    <xf numFmtId="0" fontId="29" fillId="0" borderId="0" xfId="12" applyFont="1" applyAlignment="1">
      <alignment horizontal="center"/>
    </xf>
    <xf numFmtId="0" fontId="5" fillId="0" borderId="0" xfId="12" applyFont="1" applyAlignment="1">
      <alignment horizontal="center"/>
    </xf>
    <xf numFmtId="166" fontId="3" fillId="0" borderId="0" xfId="1" applyNumberFormat="1" applyFont="1" applyFill="1" applyAlignment="1">
      <alignment horizontal="center" wrapText="1"/>
    </xf>
    <xf numFmtId="166" fontId="3" fillId="0" borderId="5" xfId="1" applyNumberFormat="1" applyFont="1" applyFill="1" applyBorder="1" applyAlignment="1">
      <alignment horizontal="center"/>
    </xf>
    <xf numFmtId="166" fontId="3" fillId="0" borderId="3" xfId="1" applyNumberFormat="1" applyFont="1" applyFill="1" applyBorder="1" applyAlignment="1">
      <alignment horizontal="center"/>
    </xf>
    <xf numFmtId="166" fontId="17" fillId="0" borderId="0" xfId="15" applyNumberFormat="1" applyFont="1" applyAlignment="1">
      <alignment horizontal="right"/>
    </xf>
    <xf numFmtId="166" fontId="3" fillId="0" borderId="0" xfId="12" applyNumberFormat="1" applyFont="1" applyAlignment="1">
      <alignment horizontal="center"/>
    </xf>
    <xf numFmtId="43" fontId="3" fillId="0" borderId="5" xfId="1" applyFont="1" applyFill="1" applyBorder="1" applyAlignment="1">
      <alignment horizontal="center"/>
    </xf>
    <xf numFmtId="167" fontId="29" fillId="0" borderId="0" xfId="12" applyNumberFormat="1" applyFont="1" applyAlignment="1">
      <alignment horizontal="center"/>
    </xf>
    <xf numFmtId="166" fontId="18" fillId="0" borderId="5" xfId="1" applyNumberFormat="1" applyFont="1" applyFill="1" applyBorder="1" applyAlignment="1">
      <alignment horizontal="center"/>
    </xf>
    <xf numFmtId="166" fontId="18" fillId="0" borderId="0" xfId="1" applyNumberFormat="1" applyFont="1" applyFill="1" applyAlignment="1">
      <alignment horizontal="center"/>
    </xf>
    <xf numFmtId="166" fontId="18" fillId="0" borderId="0" xfId="12" applyNumberFormat="1" applyFont="1" applyAlignment="1">
      <alignment horizontal="center"/>
    </xf>
    <xf numFmtId="43" fontId="18" fillId="0" borderId="5" xfId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166" fontId="3" fillId="0" borderId="0" xfId="0" applyNumberFormat="1" applyFont="1" applyAlignment="1">
      <alignment horizontal="center"/>
    </xf>
    <xf numFmtId="166" fontId="3" fillId="0" borderId="0" xfId="13" applyNumberFormat="1" applyFont="1" applyFill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166" fontId="2" fillId="0" borderId="3" xfId="0" applyNumberFormat="1" applyFont="1" applyBorder="1" applyAlignment="1">
      <alignment horizontal="center"/>
    </xf>
    <xf numFmtId="166" fontId="3" fillId="0" borderId="0" xfId="1" applyNumberFormat="1" applyFont="1" applyFill="1" applyBorder="1" applyAlignment="1">
      <alignment horizontal="right"/>
    </xf>
    <xf numFmtId="0" fontId="31" fillId="0" borderId="0" xfId="0" applyFont="1" applyAlignment="1">
      <alignment horizontal="center"/>
    </xf>
    <xf numFmtId="166" fontId="7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center"/>
    </xf>
    <xf numFmtId="0" fontId="29" fillId="0" borderId="0" xfId="0" applyFont="1" applyAlignment="1">
      <alignment horizontal="center"/>
    </xf>
    <xf numFmtId="166" fontId="3" fillId="0" borderId="5" xfId="0" applyNumberFormat="1" applyFont="1" applyBorder="1" applyAlignment="1">
      <alignment horizontal="center"/>
    </xf>
    <xf numFmtId="166" fontId="3" fillId="0" borderId="3" xfId="0" applyNumberFormat="1" applyFont="1" applyBorder="1" applyAlignment="1">
      <alignment horizontal="center"/>
    </xf>
    <xf numFmtId="166" fontId="18" fillId="0" borderId="5" xfId="0" applyNumberFormat="1" applyFont="1" applyBorder="1" applyAlignment="1">
      <alignment horizontal="center"/>
    </xf>
  </cellXfs>
  <cellStyles count="16">
    <cellStyle name="Comma" xfId="1" builtinId="3"/>
    <cellStyle name="Comma 2 2" xfId="13" xr:uid="{530B533C-02EB-43F7-A374-89D541C6DC1E}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2" xfId="9" xr:uid="{00000000-0005-0000-0000-000009000000}"/>
    <cellStyle name="Normal 2 2" xfId="12" xr:uid="{E9FF0529-68D8-42D0-8D17-AB7588E6F5AE}"/>
    <cellStyle name="Normal 3" xfId="15" xr:uid="{DE4926D2-0510-4C1F-82EF-F79C33B58176}"/>
    <cellStyle name="Normal 4" xfId="14" xr:uid="{BEC2387B-5C3A-40BB-8A9E-CDF9E5AE67DA}"/>
    <cellStyle name="Percent [2]" xfId="10" xr:uid="{00000000-0005-0000-0000-00000A000000}"/>
    <cellStyle name="Quantity" xfId="11" xr:uid="{00000000-0005-0000-0000-00000B000000}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cc053\c\My%20Documents\THONGYU\&#3611;&#3637;2544\01043002.DBF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ivaporn\AppData\Local\Temp\ca551923-70cc-46cc-ad33-d67096a39ae5_brook-fs2024q4-e.zip.ae5\FINANCIAL_STATEMENTS.XLSX" TargetMode="External"/><Relationship Id="rId1" Type="http://schemas.openxmlformats.org/officeDocument/2006/relationships/externalLinkPath" Target="file:///C:\Users\Sivaporn\AppData\Local\Temp\ca551923-70cc-46cc-ad33-d67096a39ae5_brook-fs2024q4-e.zip.ae5\FINANCIAL_STATEMEN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1043002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S_Q4-67"/>
      <sheetName val="Changed-Conso"/>
      <sheetName val="Changed-Com"/>
      <sheetName val="PL_Q4-67"/>
      <sheetName val="CashFlow"/>
      <sheetName val="Equity"/>
      <sheetName val="Conso_Q150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59995-1BCE-43B5-8B9E-6146002ECE43}">
  <dimension ref="A1:T153"/>
  <sheetViews>
    <sheetView tabSelected="1" view="pageBreakPreview" topLeftCell="A2" zoomScale="115" zoomScaleNormal="100" zoomScaleSheetLayoutView="115" workbookViewId="0">
      <selection activeCell="C10" sqref="C10"/>
    </sheetView>
  </sheetViews>
  <sheetFormatPr defaultColWidth="9.140625" defaultRowHeight="18" x14ac:dyDescent="0.4"/>
  <cols>
    <col min="1" max="2" width="2.85546875" style="164" customWidth="1"/>
    <col min="3" max="3" width="33.85546875" style="164" customWidth="1"/>
    <col min="4" max="4" width="5.42578125" style="165" customWidth="1"/>
    <col min="5" max="5" width="0.85546875" style="165" customWidth="1"/>
    <col min="6" max="6" width="12.85546875" style="165" customWidth="1"/>
    <col min="7" max="7" width="0.85546875" style="165" customWidth="1"/>
    <col min="8" max="8" width="13.42578125" style="165" customWidth="1"/>
    <col min="9" max="9" width="0.85546875" style="164" customWidth="1"/>
    <col min="10" max="10" width="12.85546875" style="5" customWidth="1"/>
    <col min="11" max="11" width="0.85546875" style="5" customWidth="1"/>
    <col min="12" max="12" width="13.5703125" style="5" customWidth="1"/>
    <col min="13" max="13" width="2.85546875" style="164" customWidth="1"/>
    <col min="14" max="14" width="15.85546875" style="164" hidden="1" customWidth="1"/>
    <col min="15" max="15" width="2.85546875" style="164" hidden="1" customWidth="1"/>
    <col min="16" max="16" width="13.85546875" style="164" hidden="1" customWidth="1"/>
    <col min="17" max="17" width="2.85546875" style="164" hidden="1" customWidth="1"/>
    <col min="18" max="18" width="14.5703125" style="164" hidden="1" customWidth="1"/>
    <col min="19" max="19" width="5" style="164" hidden="1" customWidth="1"/>
    <col min="20" max="20" width="0" style="164" hidden="1" customWidth="1"/>
    <col min="21" max="16384" width="9.140625" style="164"/>
  </cols>
  <sheetData>
    <row r="1" spans="1:13" hidden="1" x14ac:dyDescent="0.4"/>
    <row r="3" spans="1:13" x14ac:dyDescent="0.4">
      <c r="A3" s="290" t="s">
        <v>131</v>
      </c>
      <c r="B3" s="285"/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165"/>
    </row>
    <row r="4" spans="1:13" x14ac:dyDescent="0.4">
      <c r="A4" s="285" t="s">
        <v>237</v>
      </c>
      <c r="B4" s="285"/>
      <c r="C4" s="285"/>
      <c r="D4" s="285"/>
      <c r="E4" s="285"/>
      <c r="F4" s="285"/>
      <c r="G4" s="285"/>
      <c r="H4" s="285"/>
      <c r="I4" s="285"/>
      <c r="J4" s="285"/>
      <c r="K4" s="285"/>
      <c r="L4" s="285"/>
    </row>
    <row r="5" spans="1:13" s="24" customFormat="1" x14ac:dyDescent="0.4">
      <c r="A5" s="285" t="s">
        <v>348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</row>
    <row r="6" spans="1:13" x14ac:dyDescent="0.4">
      <c r="A6" s="166"/>
      <c r="B6" s="166"/>
      <c r="C6" s="166"/>
      <c r="F6" s="286" t="s">
        <v>132</v>
      </c>
      <c r="G6" s="286"/>
      <c r="H6" s="286"/>
      <c r="I6" s="286"/>
      <c r="J6" s="286"/>
      <c r="K6" s="286"/>
      <c r="L6" s="286"/>
    </row>
    <row r="7" spans="1:13" ht="18.75" x14ac:dyDescent="0.4">
      <c r="A7" s="167"/>
      <c r="B7" s="167"/>
      <c r="C7" s="167"/>
      <c r="F7" s="287" t="s">
        <v>204</v>
      </c>
      <c r="G7" s="287"/>
      <c r="H7" s="287"/>
      <c r="I7" s="252"/>
      <c r="J7" s="287" t="s">
        <v>205</v>
      </c>
      <c r="K7" s="287"/>
      <c r="L7" s="287"/>
    </row>
    <row r="8" spans="1:13" x14ac:dyDescent="0.4">
      <c r="A8" s="167"/>
      <c r="B8" s="167"/>
      <c r="C8" s="167"/>
      <c r="D8" s="253" t="s">
        <v>133</v>
      </c>
      <c r="F8" s="254" t="s">
        <v>361</v>
      </c>
      <c r="G8" s="255"/>
      <c r="H8" s="254" t="s">
        <v>349</v>
      </c>
      <c r="J8" s="256" t="str">
        <f>F8</f>
        <v>March  31, 2025</v>
      </c>
      <c r="K8" s="165"/>
      <c r="L8" s="256" t="str">
        <f>H8</f>
        <v>December 31, 2024</v>
      </c>
    </row>
    <row r="9" spans="1:13" x14ac:dyDescent="0.4">
      <c r="A9" s="167"/>
      <c r="B9" s="167"/>
      <c r="C9" s="167"/>
      <c r="F9" s="255" t="s">
        <v>370</v>
      </c>
      <c r="G9" s="255"/>
      <c r="H9" s="255" t="s">
        <v>372</v>
      </c>
      <c r="J9" s="255" t="s">
        <v>370</v>
      </c>
      <c r="K9" s="255"/>
      <c r="L9" s="255" t="s">
        <v>372</v>
      </c>
    </row>
    <row r="10" spans="1:13" x14ac:dyDescent="0.4">
      <c r="A10" s="167"/>
      <c r="B10" s="167"/>
      <c r="C10" s="167"/>
      <c r="F10" s="255" t="s">
        <v>371</v>
      </c>
      <c r="G10" s="255"/>
      <c r="H10" s="255"/>
      <c r="J10" s="255" t="s">
        <v>371</v>
      </c>
      <c r="K10" s="255"/>
      <c r="L10" s="255"/>
    </row>
    <row r="11" spans="1:13" ht="18" customHeight="1" x14ac:dyDescent="0.4">
      <c r="A11" s="289" t="s">
        <v>136</v>
      </c>
      <c r="B11" s="289"/>
      <c r="C11" s="289"/>
      <c r="D11" s="166"/>
      <c r="E11" s="166"/>
      <c r="F11" s="19"/>
      <c r="G11" s="19"/>
      <c r="H11" s="19"/>
      <c r="J11" s="164"/>
      <c r="K11" s="164"/>
      <c r="L11" s="164"/>
    </row>
    <row r="12" spans="1:13" x14ac:dyDescent="0.4">
      <c r="A12" s="167" t="s">
        <v>134</v>
      </c>
      <c r="B12" s="167"/>
      <c r="C12" s="167"/>
      <c r="D12" s="166"/>
      <c r="E12" s="166"/>
      <c r="F12" s="168"/>
      <c r="G12" s="168"/>
      <c r="H12" s="168"/>
      <c r="I12" s="167"/>
      <c r="J12" s="10"/>
      <c r="K12" s="10"/>
      <c r="L12" s="10"/>
    </row>
    <row r="13" spans="1:13" x14ac:dyDescent="0.4">
      <c r="A13" s="167"/>
      <c r="B13" s="167" t="s">
        <v>135</v>
      </c>
      <c r="C13" s="167"/>
      <c r="D13" s="166">
        <v>3</v>
      </c>
      <c r="E13" s="166"/>
      <c r="F13" s="141">
        <v>142581474.88</v>
      </c>
      <c r="G13" s="141"/>
      <c r="H13" s="141">
        <v>226065834.77000001</v>
      </c>
      <c r="I13" s="169"/>
      <c r="J13" s="13">
        <v>33563552.07</v>
      </c>
      <c r="K13" s="13"/>
      <c r="L13" s="13">
        <v>117400641.78</v>
      </c>
    </row>
    <row r="14" spans="1:13" x14ac:dyDescent="0.4">
      <c r="A14" s="167"/>
      <c r="B14" s="167" t="s">
        <v>213</v>
      </c>
      <c r="C14" s="167"/>
      <c r="D14" s="166"/>
      <c r="E14" s="166"/>
      <c r="F14" s="141"/>
      <c r="G14" s="141"/>
      <c r="H14" s="141"/>
      <c r="I14" s="169"/>
      <c r="J14" s="13"/>
      <c r="K14" s="13"/>
      <c r="L14" s="13"/>
    </row>
    <row r="15" spans="1:13" x14ac:dyDescent="0.4">
      <c r="A15" s="167"/>
      <c r="B15" s="167"/>
      <c r="C15" s="167" t="s">
        <v>188</v>
      </c>
      <c r="D15" s="166">
        <v>4</v>
      </c>
      <c r="E15" s="166"/>
      <c r="F15" s="141">
        <v>83334273.879999995</v>
      </c>
      <c r="G15" s="141"/>
      <c r="H15" s="141">
        <v>56525841.880000003</v>
      </c>
      <c r="I15" s="169"/>
      <c r="J15" s="13">
        <v>51861455.200000003</v>
      </c>
      <c r="K15" s="13"/>
      <c r="L15" s="13">
        <v>51861455.200000003</v>
      </c>
    </row>
    <row r="16" spans="1:13" x14ac:dyDescent="0.4">
      <c r="A16" s="167"/>
      <c r="B16" s="167"/>
      <c r="C16" s="167" t="s">
        <v>189</v>
      </c>
      <c r="D16" s="166">
        <v>2.2000000000000002</v>
      </c>
      <c r="E16" s="166"/>
      <c r="F16" s="141">
        <v>34347.14</v>
      </c>
      <c r="G16" s="141"/>
      <c r="H16" s="141">
        <v>0</v>
      </c>
      <c r="I16" s="169"/>
      <c r="J16" s="13">
        <v>3409347.14</v>
      </c>
      <c r="K16" s="13"/>
      <c r="L16" s="13">
        <v>0</v>
      </c>
    </row>
    <row r="17" spans="1:12" x14ac:dyDescent="0.4">
      <c r="A17" s="167"/>
      <c r="B17" s="167" t="s">
        <v>249</v>
      </c>
      <c r="C17" s="167"/>
      <c r="D17" s="166"/>
      <c r="E17" s="166"/>
      <c r="F17" s="141"/>
      <c r="G17" s="141"/>
      <c r="H17" s="141"/>
      <c r="I17" s="169"/>
      <c r="J17" s="13"/>
      <c r="K17" s="13"/>
      <c r="L17" s="13"/>
    </row>
    <row r="18" spans="1:12" x14ac:dyDescent="0.4">
      <c r="A18" s="167"/>
      <c r="B18" s="167"/>
      <c r="C18" s="167" t="s">
        <v>188</v>
      </c>
      <c r="D18" s="166">
        <v>5</v>
      </c>
      <c r="E18" s="166"/>
      <c r="F18" s="141">
        <f>22961465.33-1860902.77</f>
        <v>21100562.559999999</v>
      </c>
      <c r="G18" s="141"/>
      <c r="H18" s="141">
        <v>20783301.969999999</v>
      </c>
      <c r="I18" s="169"/>
      <c r="J18" s="13">
        <f>9390480.16-1860902.77</f>
        <v>7529577.3900000006</v>
      </c>
      <c r="K18" s="13"/>
      <c r="L18" s="13">
        <v>6423744.54</v>
      </c>
    </row>
    <row r="19" spans="1:12" x14ac:dyDescent="0.4">
      <c r="A19" s="167"/>
      <c r="B19" s="167"/>
      <c r="C19" s="167" t="s">
        <v>189</v>
      </c>
      <c r="D19" s="166">
        <v>2.2999999999999998</v>
      </c>
      <c r="E19" s="166"/>
      <c r="F19" s="141">
        <v>0</v>
      </c>
      <c r="G19" s="141"/>
      <c r="H19" s="141">
        <v>0</v>
      </c>
      <c r="I19" s="169"/>
      <c r="J19" s="13">
        <v>10442636.140000001</v>
      </c>
      <c r="K19" s="13"/>
      <c r="L19" s="13">
        <v>0</v>
      </c>
    </row>
    <row r="20" spans="1:12" x14ac:dyDescent="0.4">
      <c r="A20" s="167"/>
      <c r="B20" s="167" t="s">
        <v>340</v>
      </c>
      <c r="C20" s="167"/>
      <c r="D20" s="166">
        <v>6</v>
      </c>
      <c r="E20" s="166"/>
      <c r="F20" s="141">
        <v>596293343.46000004</v>
      </c>
      <c r="G20" s="141"/>
      <c r="H20" s="141">
        <v>688383177.6099999</v>
      </c>
      <c r="I20" s="169"/>
      <c r="J20" s="13">
        <v>474601.28</v>
      </c>
      <c r="K20" s="13"/>
      <c r="L20" s="13">
        <v>464301.68</v>
      </c>
    </row>
    <row r="21" spans="1:12" x14ac:dyDescent="0.4">
      <c r="A21" s="167"/>
      <c r="B21" s="167" t="s">
        <v>201</v>
      </c>
      <c r="C21" s="167"/>
      <c r="D21" s="166"/>
      <c r="E21" s="166"/>
      <c r="F21" s="141"/>
      <c r="G21" s="141"/>
      <c r="H21" s="141"/>
      <c r="I21" s="13"/>
      <c r="J21" s="13"/>
      <c r="K21" s="13"/>
      <c r="L21" s="13"/>
    </row>
    <row r="22" spans="1:12" x14ac:dyDescent="0.4">
      <c r="A22" s="167"/>
      <c r="B22" s="167"/>
      <c r="C22" s="167" t="s">
        <v>188</v>
      </c>
      <c r="D22" s="166">
        <v>7</v>
      </c>
      <c r="E22" s="166"/>
      <c r="F22" s="141">
        <f>609000000-13000000</f>
        <v>596000000</v>
      </c>
      <c r="G22" s="141"/>
      <c r="H22" s="141">
        <v>459000000</v>
      </c>
      <c r="I22" s="13"/>
      <c r="J22" s="141">
        <f>609000000-13000000</f>
        <v>596000000</v>
      </c>
      <c r="K22" s="141"/>
      <c r="L22" s="141">
        <v>459000000</v>
      </c>
    </row>
    <row r="23" spans="1:12" x14ac:dyDescent="0.4">
      <c r="A23" s="167"/>
      <c r="B23" s="167"/>
      <c r="C23" s="167" t="s">
        <v>189</v>
      </c>
      <c r="D23" s="166">
        <v>2.4</v>
      </c>
      <c r="E23" s="166"/>
      <c r="F23" s="141">
        <v>0</v>
      </c>
      <c r="G23" s="141"/>
      <c r="H23" s="141">
        <v>0</v>
      </c>
      <c r="I23" s="13"/>
      <c r="J23" s="257">
        <v>1701062693.73</v>
      </c>
      <c r="K23" s="257"/>
      <c r="L23" s="257">
        <v>1703568144.76</v>
      </c>
    </row>
    <row r="24" spans="1:12" x14ac:dyDescent="0.4">
      <c r="A24" s="167"/>
      <c r="B24" s="167" t="s">
        <v>300</v>
      </c>
      <c r="C24" s="167"/>
      <c r="D24" s="166">
        <v>8</v>
      </c>
      <c r="E24" s="166"/>
      <c r="F24" s="141">
        <v>584952012.89999998</v>
      </c>
      <c r="G24" s="141"/>
      <c r="H24" s="141">
        <v>788283018.52999997</v>
      </c>
      <c r="I24" s="169"/>
      <c r="J24" s="13">
        <v>60656539.979999997</v>
      </c>
      <c r="K24" s="13"/>
      <c r="L24" s="13">
        <v>96984577.430000007</v>
      </c>
    </row>
    <row r="25" spans="1:12" x14ac:dyDescent="0.4">
      <c r="A25" s="167"/>
      <c r="B25" s="167" t="s">
        <v>137</v>
      </c>
      <c r="C25" s="167"/>
      <c r="D25" s="166"/>
      <c r="E25" s="166"/>
      <c r="F25" s="141"/>
      <c r="G25" s="141"/>
      <c r="H25" s="141"/>
      <c r="I25" s="169"/>
      <c r="J25" s="13"/>
      <c r="K25" s="13"/>
      <c r="L25" s="13"/>
    </row>
    <row r="26" spans="1:12" x14ac:dyDescent="0.4">
      <c r="A26" s="167"/>
      <c r="B26" s="167"/>
      <c r="C26" s="167" t="s">
        <v>245</v>
      </c>
      <c r="D26" s="166"/>
      <c r="E26" s="166"/>
      <c r="F26" s="141">
        <v>8353752.2800000003</v>
      </c>
      <c r="G26" s="141"/>
      <c r="H26" s="141">
        <v>8274553.4900000002</v>
      </c>
      <c r="I26" s="169"/>
      <c r="J26" s="13">
        <v>5000366.5599999996</v>
      </c>
      <c r="K26" s="13"/>
      <c r="L26" s="13">
        <v>4921168.82</v>
      </c>
    </row>
    <row r="27" spans="1:12" x14ac:dyDescent="0.4">
      <c r="A27" s="167"/>
      <c r="B27" s="167"/>
      <c r="C27" s="167" t="s">
        <v>350</v>
      </c>
      <c r="D27" s="166"/>
      <c r="E27" s="166"/>
      <c r="F27" s="141">
        <v>11974120.939999999</v>
      </c>
      <c r="G27" s="141"/>
      <c r="H27" s="141">
        <v>11974120.939999999</v>
      </c>
      <c r="I27" s="169"/>
      <c r="J27" s="13">
        <v>11974120.939999999</v>
      </c>
      <c r="K27" s="13"/>
      <c r="L27" s="13">
        <v>11974120.939999999</v>
      </c>
    </row>
    <row r="28" spans="1:12" x14ac:dyDescent="0.4">
      <c r="A28" s="167"/>
      <c r="B28" s="167"/>
      <c r="C28" s="167" t="s">
        <v>141</v>
      </c>
      <c r="D28" s="166"/>
      <c r="E28" s="166"/>
      <c r="F28" s="257">
        <v>1764249.25</v>
      </c>
      <c r="G28" s="257"/>
      <c r="H28" s="257">
        <v>1476972.35</v>
      </c>
      <c r="I28" s="169"/>
      <c r="J28" s="13">
        <v>731403.24</v>
      </c>
      <c r="K28" s="13"/>
      <c r="L28" s="13">
        <v>444644.15</v>
      </c>
    </row>
    <row r="29" spans="1:12" x14ac:dyDescent="0.4">
      <c r="A29" s="167"/>
      <c r="B29" s="167"/>
      <c r="C29" s="167" t="s">
        <v>143</v>
      </c>
      <c r="D29" s="166"/>
      <c r="E29" s="166"/>
      <c r="F29" s="140">
        <f>SUM(F13:F28)</f>
        <v>2046388137.2900002</v>
      </c>
      <c r="G29" s="20"/>
      <c r="H29" s="140">
        <f>SUM(H13:H28)</f>
        <v>2260766821.54</v>
      </c>
      <c r="I29" s="169"/>
      <c r="J29" s="140">
        <f>SUM(J13:J28)</f>
        <v>2482706293.6699996</v>
      </c>
      <c r="K29" s="20"/>
      <c r="L29" s="140">
        <f>SUM(L13:L28)</f>
        <v>2453042799.3000002</v>
      </c>
    </row>
    <row r="30" spans="1:12" ht="9" customHeight="1" x14ac:dyDescent="0.4">
      <c r="A30" s="167"/>
      <c r="B30" s="167"/>
      <c r="C30" s="167"/>
      <c r="D30" s="166"/>
      <c r="E30" s="166"/>
      <c r="F30" s="257"/>
      <c r="G30" s="257"/>
      <c r="H30" s="257"/>
      <c r="I30" s="169"/>
      <c r="J30" s="13"/>
      <c r="K30" s="13"/>
      <c r="L30" s="13"/>
    </row>
    <row r="31" spans="1:12" x14ac:dyDescent="0.4">
      <c r="A31" s="167" t="s">
        <v>139</v>
      </c>
      <c r="B31" s="167"/>
      <c r="C31" s="167"/>
      <c r="D31" s="166"/>
      <c r="E31" s="166"/>
      <c r="F31" s="257"/>
      <c r="G31" s="257"/>
      <c r="H31" s="257"/>
      <c r="I31" s="169"/>
      <c r="J31" s="13"/>
      <c r="K31" s="13"/>
      <c r="L31" s="13"/>
    </row>
    <row r="32" spans="1:12" hidden="1" x14ac:dyDescent="0.4">
      <c r="A32" s="167"/>
      <c r="B32" s="167" t="s">
        <v>209</v>
      </c>
      <c r="C32" s="167"/>
      <c r="D32" s="166"/>
      <c r="E32" s="166"/>
      <c r="F32" s="257"/>
      <c r="G32" s="257"/>
      <c r="H32" s="257"/>
      <c r="I32" s="169"/>
      <c r="J32" s="257"/>
      <c r="K32" s="257"/>
      <c r="L32" s="257"/>
    </row>
    <row r="33" spans="1:12" x14ac:dyDescent="0.4">
      <c r="A33" s="167"/>
      <c r="B33" s="258" t="s">
        <v>190</v>
      </c>
      <c r="C33" s="167"/>
      <c r="D33" s="166">
        <v>9</v>
      </c>
      <c r="E33" s="166"/>
      <c r="F33" s="141">
        <v>0</v>
      </c>
      <c r="G33" s="141"/>
      <c r="H33" s="141">
        <v>0</v>
      </c>
      <c r="I33" s="169"/>
      <c r="J33" s="13">
        <v>261044600</v>
      </c>
      <c r="K33" s="13"/>
      <c r="L33" s="13">
        <v>261044600</v>
      </c>
    </row>
    <row r="34" spans="1:12" x14ac:dyDescent="0.4">
      <c r="A34" s="167"/>
      <c r="B34" s="258" t="s">
        <v>351</v>
      </c>
      <c r="C34" s="167"/>
      <c r="D34" s="166">
        <v>10</v>
      </c>
      <c r="E34" s="166"/>
      <c r="F34" s="141">
        <f>112786360.71+335543.17</f>
        <v>113121903.88</v>
      </c>
      <c r="G34" s="141"/>
      <c r="H34" s="141">
        <v>166821800.71000001</v>
      </c>
      <c r="I34" s="169"/>
      <c r="J34" s="13">
        <f>112786360.71+335543.17</f>
        <v>113121903.88</v>
      </c>
      <c r="K34" s="13"/>
      <c r="L34" s="13">
        <v>166821800.71000001</v>
      </c>
    </row>
    <row r="35" spans="1:12" x14ac:dyDescent="0.4">
      <c r="A35" s="167"/>
      <c r="B35" s="258" t="s">
        <v>301</v>
      </c>
      <c r="C35" s="167"/>
      <c r="D35" s="166">
        <v>11</v>
      </c>
      <c r="E35" s="166"/>
      <c r="F35" s="141">
        <v>285000575.38999999</v>
      </c>
      <c r="G35" s="141"/>
      <c r="H35" s="141">
        <v>285000576.45999998</v>
      </c>
      <c r="I35" s="169"/>
      <c r="J35" s="13">
        <v>285000000</v>
      </c>
      <c r="K35" s="13"/>
      <c r="L35" s="13">
        <v>285000000</v>
      </c>
    </row>
    <row r="36" spans="1:12" x14ac:dyDescent="0.4">
      <c r="A36" s="167"/>
      <c r="B36" s="258" t="s">
        <v>286</v>
      </c>
      <c r="C36" s="167"/>
      <c r="D36" s="166">
        <v>12</v>
      </c>
      <c r="E36" s="166"/>
      <c r="F36" s="141">
        <v>391500000</v>
      </c>
      <c r="G36" s="141"/>
      <c r="H36" s="141">
        <v>391500000</v>
      </c>
      <c r="I36" s="169"/>
      <c r="J36" s="13">
        <v>391500000</v>
      </c>
      <c r="K36" s="13"/>
      <c r="L36" s="13">
        <v>391500000</v>
      </c>
    </row>
    <row r="37" spans="1:12" x14ac:dyDescent="0.4">
      <c r="A37" s="167"/>
      <c r="B37" s="258" t="s">
        <v>276</v>
      </c>
      <c r="C37" s="167"/>
      <c r="D37" s="166">
        <v>13</v>
      </c>
      <c r="E37" s="166"/>
      <c r="F37" s="257">
        <v>4621263.2300000004</v>
      </c>
      <c r="G37" s="257"/>
      <c r="H37" s="257">
        <v>4729800.18</v>
      </c>
      <c r="I37" s="169"/>
      <c r="J37" s="13">
        <v>4621263.2300000004</v>
      </c>
      <c r="K37" s="13"/>
      <c r="L37" s="13">
        <v>4729800.18</v>
      </c>
    </row>
    <row r="38" spans="1:12" x14ac:dyDescent="0.4">
      <c r="A38" s="167"/>
      <c r="B38" s="258" t="s">
        <v>333</v>
      </c>
      <c r="C38" s="167"/>
      <c r="D38" s="166">
        <v>14</v>
      </c>
      <c r="E38" s="166"/>
      <c r="F38" s="257">
        <v>21133340.600000001</v>
      </c>
      <c r="G38" s="257"/>
      <c r="H38" s="257">
        <v>22544459.469999999</v>
      </c>
      <c r="I38" s="169"/>
      <c r="J38" s="13">
        <v>21125868.329999998</v>
      </c>
      <c r="K38" s="13"/>
      <c r="L38" s="13">
        <v>22530301.52</v>
      </c>
    </row>
    <row r="39" spans="1:12" x14ac:dyDescent="0.4">
      <c r="A39" s="167"/>
      <c r="B39" s="258" t="s">
        <v>352</v>
      </c>
      <c r="C39" s="167"/>
      <c r="D39" s="166">
        <v>15</v>
      </c>
      <c r="E39" s="166"/>
      <c r="F39" s="257">
        <v>214775309.44999999</v>
      </c>
      <c r="G39" s="257"/>
      <c r="H39" s="257">
        <v>214775309.44999999</v>
      </c>
      <c r="I39" s="169"/>
      <c r="J39" s="13">
        <v>0</v>
      </c>
      <c r="K39" s="13"/>
      <c r="L39" s="13">
        <v>0</v>
      </c>
    </row>
    <row r="40" spans="1:12" x14ac:dyDescent="0.4">
      <c r="A40" s="167"/>
      <c r="B40" s="258" t="s">
        <v>353</v>
      </c>
      <c r="C40" s="167"/>
      <c r="D40" s="166">
        <v>16</v>
      </c>
      <c r="E40" s="166"/>
      <c r="F40" s="257">
        <v>264843.45</v>
      </c>
      <c r="G40" s="257"/>
      <c r="H40" s="257">
        <v>460219.72</v>
      </c>
      <c r="I40" s="169"/>
      <c r="J40" s="13">
        <v>264843.45</v>
      </c>
      <c r="K40" s="13"/>
      <c r="L40" s="13">
        <v>460219.72</v>
      </c>
    </row>
    <row r="41" spans="1:12" x14ac:dyDescent="0.4">
      <c r="A41" s="167"/>
      <c r="B41" s="258" t="s">
        <v>354</v>
      </c>
      <c r="C41" s="167"/>
      <c r="D41" s="166">
        <v>17.100000000000001</v>
      </c>
      <c r="E41" s="166"/>
      <c r="F41" s="257">
        <v>81398872.019999996</v>
      </c>
      <c r="G41" s="257"/>
      <c r="H41" s="257">
        <v>81549776.189999998</v>
      </c>
      <c r="I41" s="169"/>
      <c r="J41" s="13">
        <v>0</v>
      </c>
      <c r="K41" s="13"/>
      <c r="L41" s="13">
        <v>0</v>
      </c>
    </row>
    <row r="42" spans="1:12" x14ac:dyDescent="0.4">
      <c r="A42" s="167"/>
      <c r="B42" s="258" t="s">
        <v>355</v>
      </c>
      <c r="C42" s="167"/>
      <c r="D42" s="166">
        <v>17.2</v>
      </c>
      <c r="E42" s="166"/>
      <c r="F42" s="257">
        <v>443638671.5</v>
      </c>
      <c r="G42" s="257"/>
      <c r="H42" s="257">
        <v>444038620.85000002</v>
      </c>
      <c r="I42" s="169"/>
      <c r="J42" s="13">
        <v>0</v>
      </c>
      <c r="K42" s="13"/>
      <c r="L42" s="13">
        <v>0</v>
      </c>
    </row>
    <row r="43" spans="1:12" x14ac:dyDescent="0.4">
      <c r="A43" s="167"/>
      <c r="B43" s="258" t="s">
        <v>260</v>
      </c>
      <c r="C43" s="167"/>
      <c r="D43" s="166">
        <v>18.399999999999999</v>
      </c>
      <c r="E43" s="166"/>
      <c r="F43" s="257">
        <f>147949459.39-67108.63+2972180.55</f>
        <v>150854531.31</v>
      </c>
      <c r="G43" s="257"/>
      <c r="H43" s="257">
        <v>128854377.94</v>
      </c>
      <c r="I43" s="169"/>
      <c r="J43" s="13">
        <f>134439507.95-67108.63+2972180.55</f>
        <v>137344579.87</v>
      </c>
      <c r="K43" s="13"/>
      <c r="L43" s="13">
        <v>115478470.51000001</v>
      </c>
    </row>
    <row r="44" spans="1:12" x14ac:dyDescent="0.4">
      <c r="A44" s="167"/>
      <c r="B44" s="258" t="s">
        <v>140</v>
      </c>
      <c r="C44" s="258"/>
      <c r="D44" s="166"/>
      <c r="E44" s="166"/>
      <c r="F44" s="257">
        <v>428610</v>
      </c>
      <c r="G44" s="257"/>
      <c r="H44" s="257">
        <v>428610</v>
      </c>
      <c r="I44" s="169"/>
      <c r="J44" s="13">
        <v>428610</v>
      </c>
      <c r="K44" s="13"/>
      <c r="L44" s="13">
        <v>428610</v>
      </c>
    </row>
    <row r="45" spans="1:12" x14ac:dyDescent="0.4">
      <c r="A45" s="167"/>
      <c r="B45" s="167"/>
      <c r="C45" s="258" t="s">
        <v>142</v>
      </c>
      <c r="D45" s="166"/>
      <c r="E45" s="166"/>
      <c r="F45" s="140">
        <f>SUM(F32:F44)</f>
        <v>1706737920.8299999</v>
      </c>
      <c r="G45" s="20"/>
      <c r="H45" s="140">
        <f>SUM(H32:H44)</f>
        <v>1740703550.9700003</v>
      </c>
      <c r="I45" s="169"/>
      <c r="J45" s="140">
        <f>SUM(J32:J44)</f>
        <v>1214451668.7600002</v>
      </c>
      <c r="K45" s="20"/>
      <c r="L45" s="140">
        <f>SUM(L32:L44)</f>
        <v>1247993802.6400001</v>
      </c>
    </row>
    <row r="46" spans="1:12" ht="18.75" thickBot="1" x14ac:dyDescent="0.45">
      <c r="A46" s="258" t="s">
        <v>144</v>
      </c>
      <c r="B46" s="167"/>
      <c r="C46" s="167"/>
      <c r="D46" s="166"/>
      <c r="E46" s="166"/>
      <c r="F46" s="142">
        <f>+F45+F29</f>
        <v>3753126058.1199999</v>
      </c>
      <c r="G46" s="20"/>
      <c r="H46" s="142">
        <f>+H45+H29</f>
        <v>4001470372.5100002</v>
      </c>
      <c r="I46" s="169"/>
      <c r="J46" s="142">
        <f>+J45+J29</f>
        <v>3697157962.4299998</v>
      </c>
      <c r="K46" s="20"/>
      <c r="L46" s="142">
        <f>+L45+L29</f>
        <v>3701036601.9400005</v>
      </c>
    </row>
    <row r="47" spans="1:12" ht="9" customHeight="1" thickTop="1" x14ac:dyDescent="0.4">
      <c r="A47" s="167"/>
      <c r="B47" s="167"/>
      <c r="C47" s="167"/>
      <c r="D47" s="166"/>
      <c r="E47" s="166"/>
      <c r="F47" s="170"/>
      <c r="G47" s="170"/>
      <c r="H47" s="170"/>
      <c r="I47" s="169"/>
      <c r="J47" s="20"/>
      <c r="K47" s="20"/>
      <c r="L47" s="20"/>
    </row>
    <row r="48" spans="1:12" x14ac:dyDescent="0.4">
      <c r="A48" s="259" t="s">
        <v>373</v>
      </c>
      <c r="B48" s="167"/>
      <c r="C48" s="167"/>
      <c r="D48" s="166"/>
      <c r="E48" s="166"/>
      <c r="F48" s="166"/>
      <c r="G48" s="166"/>
      <c r="H48" s="166"/>
      <c r="I48" s="167"/>
      <c r="J48" s="16"/>
      <c r="K48" s="16"/>
      <c r="L48" s="16"/>
    </row>
    <row r="49" spans="1:12" x14ac:dyDescent="0.4">
      <c r="B49" s="167"/>
      <c r="C49" s="167"/>
      <c r="D49" s="166"/>
      <c r="E49" s="166"/>
      <c r="F49" s="166"/>
      <c r="G49" s="166"/>
      <c r="H49" s="166"/>
      <c r="I49" s="167"/>
      <c r="J49" s="10"/>
      <c r="K49" s="10"/>
      <c r="L49" s="10"/>
    </row>
    <row r="50" spans="1:12" ht="18.75" customHeight="1" x14ac:dyDescent="0.4">
      <c r="A50" s="167"/>
      <c r="B50" s="167"/>
      <c r="C50" s="167"/>
      <c r="D50" s="166"/>
      <c r="E50" s="166"/>
      <c r="F50" s="166"/>
      <c r="G50" s="166"/>
      <c r="H50" s="166"/>
      <c r="I50" s="167"/>
      <c r="J50" s="10"/>
      <c r="K50" s="10"/>
      <c r="L50" s="10"/>
    </row>
    <row r="51" spans="1:12" x14ac:dyDescent="0.4">
      <c r="A51" s="166"/>
      <c r="B51" s="171" t="s">
        <v>145</v>
      </c>
      <c r="C51" s="166"/>
      <c r="D51" s="171"/>
      <c r="E51" s="166"/>
      <c r="G51" s="171"/>
      <c r="H51" s="171" t="s">
        <v>145</v>
      </c>
      <c r="I51" s="166"/>
      <c r="J51" s="166"/>
      <c r="K51" s="166"/>
      <c r="L51" s="166"/>
    </row>
    <row r="52" spans="1:12" ht="9.75" customHeight="1" x14ac:dyDescent="0.4">
      <c r="A52" s="288"/>
      <c r="B52" s="288"/>
      <c r="C52" s="288"/>
      <c r="D52" s="288"/>
      <c r="E52" s="288"/>
      <c r="F52" s="288"/>
      <c r="G52" s="288"/>
      <c r="H52" s="288"/>
      <c r="I52" s="288"/>
      <c r="J52" s="288"/>
      <c r="K52" s="288"/>
      <c r="L52" s="288"/>
    </row>
    <row r="53" spans="1:12" x14ac:dyDescent="0.4">
      <c r="B53" s="171"/>
      <c r="C53" s="166"/>
      <c r="D53" s="171"/>
      <c r="E53" s="171"/>
      <c r="F53" s="171"/>
      <c r="G53" s="171"/>
      <c r="H53" s="166"/>
      <c r="I53" s="171"/>
      <c r="J53" s="171"/>
      <c r="K53" s="171"/>
      <c r="L53" s="171"/>
    </row>
    <row r="54" spans="1:12" x14ac:dyDescent="0.4">
      <c r="A54" s="171"/>
      <c r="B54" s="172"/>
      <c r="C54" s="166"/>
      <c r="D54" s="166"/>
      <c r="E54" s="166"/>
      <c r="F54" s="166"/>
      <c r="G54" s="166"/>
      <c r="H54" s="166"/>
      <c r="I54" s="166"/>
      <c r="J54" s="166"/>
      <c r="K54" s="166"/>
      <c r="L54" s="10"/>
    </row>
    <row r="55" spans="1:12" x14ac:dyDescent="0.4">
      <c r="A55" s="285" t="s">
        <v>131</v>
      </c>
      <c r="B55" s="285"/>
      <c r="C55" s="285"/>
      <c r="D55" s="285"/>
      <c r="E55" s="285"/>
      <c r="F55" s="285"/>
      <c r="G55" s="285"/>
      <c r="H55" s="285"/>
      <c r="I55" s="285"/>
      <c r="J55" s="285"/>
      <c r="K55" s="285"/>
      <c r="L55" s="285"/>
    </row>
    <row r="56" spans="1:12" x14ac:dyDescent="0.4">
      <c r="A56" s="285" t="s">
        <v>237</v>
      </c>
      <c r="B56" s="285"/>
      <c r="C56" s="285"/>
      <c r="D56" s="285"/>
      <c r="E56" s="285"/>
      <c r="F56" s="285"/>
      <c r="G56" s="285"/>
      <c r="H56" s="285"/>
      <c r="I56" s="285"/>
      <c r="J56" s="285"/>
      <c r="K56" s="285"/>
      <c r="L56" s="285"/>
    </row>
    <row r="57" spans="1:12" s="24" customFormat="1" x14ac:dyDescent="0.4">
      <c r="A57" s="285" t="str">
        <f>+A5</f>
        <v>AS AT MARCH 31, 2025</v>
      </c>
      <c r="B57" s="285"/>
      <c r="C57" s="285"/>
      <c r="D57" s="285"/>
      <c r="E57" s="285"/>
      <c r="F57" s="285"/>
      <c r="G57" s="285"/>
      <c r="H57" s="285"/>
      <c r="I57" s="285"/>
      <c r="J57" s="285"/>
      <c r="K57" s="285"/>
      <c r="L57" s="285"/>
    </row>
    <row r="58" spans="1:12" ht="18.75" customHeight="1" x14ac:dyDescent="0.4">
      <c r="A58" s="167"/>
      <c r="B58" s="167"/>
      <c r="C58" s="167"/>
      <c r="F58" s="286" t="s">
        <v>132</v>
      </c>
      <c r="G58" s="286"/>
      <c r="H58" s="286"/>
      <c r="I58" s="286"/>
      <c r="J58" s="286"/>
      <c r="K58" s="286"/>
      <c r="L58" s="286"/>
    </row>
    <row r="59" spans="1:12" ht="18.75" customHeight="1" x14ac:dyDescent="0.4">
      <c r="A59" s="167"/>
      <c r="B59" s="167"/>
      <c r="C59" s="167"/>
      <c r="F59" s="287" t="s">
        <v>204</v>
      </c>
      <c r="G59" s="287"/>
      <c r="H59" s="287"/>
      <c r="I59" s="252"/>
      <c r="J59" s="287" t="s">
        <v>205</v>
      </c>
      <c r="K59" s="287"/>
      <c r="L59" s="287"/>
    </row>
    <row r="60" spans="1:12" x14ac:dyDescent="0.4">
      <c r="A60" s="167"/>
      <c r="B60" s="167"/>
      <c r="C60" s="167"/>
      <c r="D60" s="253" t="s">
        <v>133</v>
      </c>
      <c r="F60" s="256" t="str">
        <f>F8</f>
        <v>March  31, 2025</v>
      </c>
      <c r="H60" s="256" t="str">
        <f>H8</f>
        <v>December 31, 2024</v>
      </c>
      <c r="J60" s="256" t="str">
        <f>J8</f>
        <v>March  31, 2025</v>
      </c>
      <c r="K60" s="165"/>
      <c r="L60" s="256" t="str">
        <f>L8</f>
        <v>December 31, 2024</v>
      </c>
    </row>
    <row r="61" spans="1:12" s="173" customFormat="1" ht="18" customHeight="1" x14ac:dyDescent="0.4">
      <c r="A61" s="165"/>
      <c r="B61" s="165"/>
      <c r="C61" s="165"/>
      <c r="D61" s="165"/>
      <c r="E61" s="165"/>
      <c r="F61" s="255" t="s">
        <v>370</v>
      </c>
      <c r="G61" s="255"/>
      <c r="H61" s="255" t="s">
        <v>372</v>
      </c>
      <c r="I61" s="164"/>
      <c r="J61" s="255" t="s">
        <v>370</v>
      </c>
      <c r="K61" s="255"/>
      <c r="L61" s="255" t="s">
        <v>372</v>
      </c>
    </row>
    <row r="62" spans="1:12" s="173" customFormat="1" ht="18" customHeight="1" x14ac:dyDescent="0.4">
      <c r="A62" s="165"/>
      <c r="B62" s="165"/>
      <c r="C62" s="165"/>
      <c r="D62" s="165"/>
      <c r="E62" s="165"/>
      <c r="F62" s="255" t="s">
        <v>371</v>
      </c>
      <c r="G62" s="255"/>
      <c r="H62" s="255"/>
      <c r="I62" s="164"/>
      <c r="J62" s="255" t="s">
        <v>371</v>
      </c>
      <c r="K62" s="255"/>
      <c r="L62" s="255"/>
    </row>
    <row r="63" spans="1:12" ht="18" customHeight="1" x14ac:dyDescent="0.4">
      <c r="A63" s="289" t="s">
        <v>146</v>
      </c>
      <c r="B63" s="289"/>
      <c r="C63" s="289"/>
      <c r="D63" s="166"/>
      <c r="E63" s="166"/>
      <c r="F63" s="25"/>
      <c r="G63" s="25"/>
      <c r="H63" s="25"/>
      <c r="I63" s="167"/>
      <c r="J63" s="25"/>
      <c r="K63" s="25"/>
      <c r="L63" s="25"/>
    </row>
    <row r="64" spans="1:12" x14ac:dyDescent="0.4">
      <c r="A64" s="258" t="s">
        <v>147</v>
      </c>
      <c r="B64" s="167"/>
      <c r="C64" s="167"/>
      <c r="D64" s="166"/>
      <c r="E64" s="166"/>
      <c r="F64" s="260"/>
      <c r="G64" s="260"/>
      <c r="H64" s="260"/>
      <c r="I64" s="167"/>
      <c r="J64" s="10"/>
      <c r="K64" s="10"/>
      <c r="L64" s="10"/>
    </row>
    <row r="65" spans="1:12" x14ac:dyDescent="0.4">
      <c r="A65" s="167"/>
      <c r="B65" s="167" t="s">
        <v>287</v>
      </c>
      <c r="C65" s="167"/>
      <c r="D65" s="166">
        <v>19</v>
      </c>
      <c r="E65" s="166"/>
      <c r="F65" s="141">
        <v>320000000</v>
      </c>
      <c r="G65" s="260"/>
      <c r="H65" s="141">
        <v>220000000</v>
      </c>
      <c r="I65" s="167"/>
      <c r="J65" s="13">
        <v>320000000</v>
      </c>
      <c r="K65" s="10"/>
      <c r="L65" s="13">
        <v>220000000</v>
      </c>
    </row>
    <row r="66" spans="1:12" hidden="1" x14ac:dyDescent="0.4">
      <c r="A66" s="167"/>
      <c r="B66" s="167" t="s">
        <v>261</v>
      </c>
      <c r="C66" s="167"/>
      <c r="D66" s="166"/>
      <c r="E66" s="166"/>
      <c r="F66" s="11"/>
      <c r="G66" s="11"/>
      <c r="H66" s="11"/>
      <c r="I66" s="174"/>
      <c r="J66" s="10"/>
      <c r="K66" s="10"/>
      <c r="L66" s="10"/>
    </row>
    <row r="67" spans="1:12" hidden="1" x14ac:dyDescent="0.4">
      <c r="A67" s="167"/>
      <c r="B67" s="167"/>
      <c r="C67" s="167" t="s">
        <v>188</v>
      </c>
      <c r="D67" s="166"/>
      <c r="E67" s="166"/>
      <c r="F67" s="141">
        <v>0</v>
      </c>
      <c r="G67" s="141"/>
      <c r="H67" s="141">
        <v>0</v>
      </c>
      <c r="I67" s="169"/>
      <c r="J67" s="13">
        <v>0</v>
      </c>
      <c r="K67" s="13"/>
      <c r="L67" s="13">
        <v>0</v>
      </c>
    </row>
    <row r="68" spans="1:12" hidden="1" x14ac:dyDescent="0.4">
      <c r="A68" s="167"/>
      <c r="B68" s="167"/>
      <c r="C68" s="167" t="s">
        <v>308</v>
      </c>
      <c r="D68" s="166">
        <v>2.5</v>
      </c>
      <c r="E68" s="166"/>
      <c r="F68" s="141">
        <v>0</v>
      </c>
      <c r="G68" s="141"/>
      <c r="H68" s="141">
        <v>0</v>
      </c>
      <c r="I68" s="169"/>
      <c r="J68" s="13">
        <v>0</v>
      </c>
      <c r="K68" s="13"/>
      <c r="L68" s="13">
        <v>0</v>
      </c>
    </row>
    <row r="69" spans="1:12" x14ac:dyDescent="0.4">
      <c r="A69" s="167"/>
      <c r="B69" s="167" t="s">
        <v>302</v>
      </c>
      <c r="C69" s="167"/>
      <c r="D69" s="164"/>
      <c r="E69" s="164"/>
      <c r="F69" s="164"/>
      <c r="G69" s="164"/>
      <c r="H69" s="164"/>
      <c r="J69" s="164"/>
      <c r="K69" s="164"/>
      <c r="L69" s="164"/>
    </row>
    <row r="70" spans="1:12" x14ac:dyDescent="0.4">
      <c r="A70" s="167"/>
      <c r="B70" s="167"/>
      <c r="C70" s="167" t="s">
        <v>188</v>
      </c>
      <c r="D70" s="165">
        <v>20</v>
      </c>
      <c r="E70" s="166"/>
      <c r="F70" s="141">
        <v>11030043.029999999</v>
      </c>
      <c r="G70" s="141"/>
      <c r="H70" s="141">
        <v>41045685.57</v>
      </c>
      <c r="I70" s="169"/>
      <c r="J70" s="13">
        <v>10167048.58</v>
      </c>
      <c r="K70" s="13"/>
      <c r="L70" s="13">
        <v>39327409.770000003</v>
      </c>
    </row>
    <row r="71" spans="1:12" x14ac:dyDescent="0.4">
      <c r="A71" s="167"/>
      <c r="B71" s="167"/>
      <c r="C71" s="167" t="s">
        <v>308</v>
      </c>
      <c r="D71" s="165">
        <v>2.5</v>
      </c>
      <c r="E71" s="166"/>
      <c r="F71" s="141">
        <v>0</v>
      </c>
      <c r="G71" s="141"/>
      <c r="H71" s="141">
        <v>0</v>
      </c>
      <c r="I71" s="169"/>
      <c r="J71" s="13">
        <v>0</v>
      </c>
      <c r="K71" s="13"/>
      <c r="L71" s="13">
        <v>1203996.25</v>
      </c>
    </row>
    <row r="72" spans="1:12" x14ac:dyDescent="0.4">
      <c r="A72" s="167"/>
      <c r="B72" s="167" t="s">
        <v>201</v>
      </c>
      <c r="E72" s="166"/>
      <c r="F72" s="141"/>
      <c r="G72" s="141"/>
      <c r="H72" s="141"/>
      <c r="I72" s="169"/>
      <c r="J72" s="13"/>
      <c r="K72" s="13"/>
      <c r="L72" s="13"/>
    </row>
    <row r="73" spans="1:12" x14ac:dyDescent="0.4">
      <c r="A73" s="167"/>
      <c r="B73" s="167"/>
      <c r="C73" s="167" t="s">
        <v>308</v>
      </c>
      <c r="D73" s="165">
        <v>2.6</v>
      </c>
      <c r="E73" s="166"/>
      <c r="F73" s="141">
        <v>0</v>
      </c>
      <c r="G73" s="141"/>
      <c r="H73" s="141">
        <v>0</v>
      </c>
      <c r="I73" s="169"/>
      <c r="J73" s="13">
        <v>6000000</v>
      </c>
      <c r="K73" s="13"/>
      <c r="L73" s="13">
        <v>6000000</v>
      </c>
    </row>
    <row r="74" spans="1:12" x14ac:dyDescent="0.4">
      <c r="A74" s="167"/>
      <c r="B74" s="167" t="s">
        <v>149</v>
      </c>
      <c r="D74" s="166"/>
      <c r="E74" s="166"/>
      <c r="F74" s="141">
        <v>2007911.56</v>
      </c>
      <c r="G74" s="141"/>
      <c r="H74" s="141">
        <v>0</v>
      </c>
      <c r="I74" s="169"/>
      <c r="J74" s="141">
        <v>2007911.56</v>
      </c>
      <c r="K74" s="141"/>
      <c r="L74" s="141">
        <v>0</v>
      </c>
    </row>
    <row r="75" spans="1:12" x14ac:dyDescent="0.4">
      <c r="A75" s="167"/>
      <c r="B75" s="167" t="s">
        <v>356</v>
      </c>
      <c r="D75" s="166">
        <v>21</v>
      </c>
      <c r="E75" s="166"/>
      <c r="F75" s="141">
        <v>271920.76</v>
      </c>
      <c r="G75" s="141"/>
      <c r="H75" s="141">
        <v>474599.76</v>
      </c>
      <c r="I75" s="169"/>
      <c r="J75" s="141">
        <v>271920.76</v>
      </c>
      <c r="K75" s="141"/>
      <c r="L75" s="141">
        <v>474599.76</v>
      </c>
    </row>
    <row r="76" spans="1:12" x14ac:dyDescent="0.4">
      <c r="A76" s="167"/>
      <c r="B76" s="167" t="s">
        <v>148</v>
      </c>
      <c r="C76" s="167"/>
      <c r="D76" s="166"/>
      <c r="E76" s="166"/>
      <c r="F76" s="141"/>
      <c r="G76" s="141"/>
      <c r="H76" s="141"/>
      <c r="I76" s="169"/>
      <c r="J76" s="141"/>
      <c r="K76" s="141"/>
      <c r="L76" s="141"/>
    </row>
    <row r="77" spans="1:12" x14ac:dyDescent="0.4">
      <c r="A77" s="167"/>
      <c r="B77" s="167"/>
      <c r="C77" s="167" t="s">
        <v>210</v>
      </c>
      <c r="D77" s="166"/>
      <c r="E77" s="166"/>
      <c r="F77" s="141">
        <v>3394474.89</v>
      </c>
      <c r="G77" s="141"/>
      <c r="H77" s="141">
        <v>3392805.48</v>
      </c>
      <c r="I77" s="257"/>
      <c r="J77" s="257">
        <v>3394474.89</v>
      </c>
      <c r="K77" s="257"/>
      <c r="L77" s="257">
        <v>3392805.48</v>
      </c>
    </row>
    <row r="78" spans="1:12" x14ac:dyDescent="0.4">
      <c r="A78" s="167"/>
      <c r="B78" s="167"/>
      <c r="C78" s="167" t="s">
        <v>138</v>
      </c>
      <c r="D78" s="166"/>
      <c r="E78" s="166"/>
      <c r="F78" s="141">
        <v>11899086.880000001</v>
      </c>
      <c r="G78" s="141"/>
      <c r="H78" s="141">
        <v>1304910.02</v>
      </c>
      <c r="I78" s="169"/>
      <c r="J78" s="13">
        <v>11860835.68</v>
      </c>
      <c r="K78" s="13"/>
      <c r="L78" s="13">
        <v>1271980.8799999999</v>
      </c>
    </row>
    <row r="79" spans="1:12" x14ac:dyDescent="0.4">
      <c r="A79" s="167"/>
      <c r="B79" s="167"/>
      <c r="C79" s="258" t="s">
        <v>150</v>
      </c>
      <c r="D79" s="166"/>
      <c r="E79" s="166"/>
      <c r="F79" s="140">
        <f>SUM(F65:F78)</f>
        <v>348603437.11999995</v>
      </c>
      <c r="G79" s="20"/>
      <c r="H79" s="140">
        <f>SUM(H65:H78)</f>
        <v>266218000.82999998</v>
      </c>
      <c r="I79" s="169"/>
      <c r="J79" s="140">
        <f>SUM(J65:J78)</f>
        <v>353702191.46999997</v>
      </c>
      <c r="K79" s="20"/>
      <c r="L79" s="140">
        <f>SUM(L65:L78)</f>
        <v>271670792.13999999</v>
      </c>
    </row>
    <row r="80" spans="1:12" x14ac:dyDescent="0.4">
      <c r="A80" s="167"/>
      <c r="B80" s="167"/>
      <c r="C80" s="258"/>
      <c r="D80" s="166"/>
      <c r="E80" s="166"/>
      <c r="F80" s="20"/>
      <c r="G80" s="20"/>
      <c r="H80" s="20"/>
      <c r="I80" s="169"/>
      <c r="J80" s="20"/>
      <c r="K80" s="20"/>
      <c r="L80" s="20"/>
    </row>
    <row r="81" spans="1:14" x14ac:dyDescent="0.4">
      <c r="A81" s="258" t="s">
        <v>221</v>
      </c>
      <c r="B81" s="167"/>
      <c r="C81" s="258"/>
      <c r="D81" s="166"/>
      <c r="E81" s="166"/>
      <c r="F81" s="20"/>
      <c r="G81" s="20"/>
      <c r="H81" s="20"/>
      <c r="I81" s="169"/>
      <c r="J81" s="20"/>
      <c r="K81" s="20"/>
      <c r="L81" s="20"/>
    </row>
    <row r="82" spans="1:14" x14ac:dyDescent="0.4">
      <c r="A82" s="167"/>
      <c r="B82" s="167" t="s">
        <v>303</v>
      </c>
      <c r="C82" s="258"/>
      <c r="D82" s="166">
        <v>22</v>
      </c>
      <c r="E82" s="166"/>
      <c r="F82" s="141">
        <v>42150870</v>
      </c>
      <c r="G82" s="141"/>
      <c r="H82" s="141">
        <v>37684847</v>
      </c>
      <c r="I82" s="13"/>
      <c r="J82" s="13">
        <v>42133860</v>
      </c>
      <c r="K82" s="13"/>
      <c r="L82" s="13">
        <v>37684847</v>
      </c>
      <c r="N82" s="175"/>
    </row>
    <row r="83" spans="1:14" x14ac:dyDescent="0.4">
      <c r="A83" s="167"/>
      <c r="B83" s="167"/>
      <c r="C83" s="258" t="s">
        <v>222</v>
      </c>
      <c r="D83" s="166"/>
      <c r="E83" s="166"/>
      <c r="F83" s="140">
        <f>SUM(F82:F82)</f>
        <v>42150870</v>
      </c>
      <c r="G83" s="20"/>
      <c r="H83" s="140">
        <f>SUM(H82:H82)</f>
        <v>37684847</v>
      </c>
      <c r="I83" s="13"/>
      <c r="J83" s="140">
        <f>SUM(J82:J82)</f>
        <v>42133860</v>
      </c>
      <c r="K83" s="20"/>
      <c r="L83" s="140">
        <f>SUM(L82:L82)</f>
        <v>37684847</v>
      </c>
    </row>
    <row r="84" spans="1:14" x14ac:dyDescent="0.4">
      <c r="A84" s="167"/>
      <c r="B84" s="167"/>
      <c r="C84" s="258" t="s">
        <v>223</v>
      </c>
      <c r="D84" s="166"/>
      <c r="E84" s="166"/>
      <c r="F84" s="138">
        <f>+F83+F79</f>
        <v>390754307.11999995</v>
      </c>
      <c r="G84" s="20"/>
      <c r="H84" s="138">
        <f>+H83+H79</f>
        <v>303902847.82999998</v>
      </c>
      <c r="I84" s="169"/>
      <c r="J84" s="138">
        <f>+J83+J79</f>
        <v>395836051.46999997</v>
      </c>
      <c r="K84" s="20"/>
      <c r="L84" s="138">
        <f>+L83+L79</f>
        <v>309355639.13999999</v>
      </c>
    </row>
    <row r="85" spans="1:14" x14ac:dyDescent="0.4">
      <c r="A85" s="167"/>
      <c r="B85" s="167"/>
      <c r="C85" s="258"/>
      <c r="D85" s="166"/>
      <c r="E85" s="166"/>
      <c r="F85" s="20"/>
      <c r="G85" s="20"/>
      <c r="H85" s="20"/>
      <c r="I85" s="169"/>
      <c r="J85" s="20"/>
      <c r="K85" s="20"/>
      <c r="L85" s="20"/>
    </row>
    <row r="86" spans="1:14" x14ac:dyDescent="0.4">
      <c r="A86" s="167" t="s">
        <v>373</v>
      </c>
      <c r="B86" s="167"/>
      <c r="C86" s="258"/>
      <c r="D86" s="166"/>
      <c r="E86" s="166"/>
      <c r="F86" s="16"/>
      <c r="G86" s="16"/>
      <c r="H86" s="16"/>
      <c r="I86" s="174"/>
      <c r="J86" s="16"/>
      <c r="K86" s="16"/>
      <c r="L86" s="16"/>
    </row>
    <row r="87" spans="1:14" x14ac:dyDescent="0.4">
      <c r="A87" s="167"/>
      <c r="B87" s="167"/>
      <c r="C87" s="258"/>
      <c r="D87" s="166"/>
      <c r="E87" s="166"/>
      <c r="F87" s="16"/>
      <c r="G87" s="16"/>
      <c r="H87" s="16"/>
      <c r="I87" s="174"/>
      <c r="J87" s="16"/>
      <c r="K87" s="16"/>
      <c r="L87" s="16"/>
    </row>
    <row r="88" spans="1:14" x14ac:dyDescent="0.4">
      <c r="A88" s="167"/>
      <c r="B88" s="167"/>
      <c r="C88" s="258"/>
      <c r="D88" s="166"/>
      <c r="E88" s="166"/>
      <c r="F88" s="16"/>
      <c r="G88" s="16"/>
      <c r="H88" s="16"/>
      <c r="I88" s="174"/>
      <c r="J88" s="16"/>
      <c r="K88" s="16"/>
      <c r="L88" s="16"/>
    </row>
    <row r="89" spans="1:14" x14ac:dyDescent="0.4">
      <c r="A89" s="167"/>
      <c r="B89" s="167"/>
      <c r="C89" s="258"/>
      <c r="D89" s="166"/>
      <c r="E89" s="166"/>
      <c r="F89" s="16"/>
      <c r="G89" s="16"/>
      <c r="H89" s="16"/>
      <c r="I89" s="174"/>
      <c r="J89" s="16"/>
      <c r="K89" s="16"/>
      <c r="L89" s="16"/>
    </row>
    <row r="90" spans="1:14" x14ac:dyDescent="0.4">
      <c r="A90" s="167"/>
      <c r="B90" s="167"/>
      <c r="C90" s="258"/>
      <c r="D90" s="166"/>
      <c r="E90" s="166"/>
      <c r="F90" s="16"/>
      <c r="G90" s="16"/>
      <c r="H90" s="16"/>
      <c r="I90" s="174"/>
      <c r="J90" s="16"/>
      <c r="K90" s="16"/>
      <c r="L90" s="16"/>
    </row>
    <row r="91" spans="1:14" x14ac:dyDescent="0.4">
      <c r="A91" s="167"/>
      <c r="B91" s="167"/>
      <c r="C91" s="258"/>
      <c r="D91" s="166"/>
      <c r="E91" s="166"/>
      <c r="F91" s="16"/>
      <c r="G91" s="16"/>
      <c r="H91" s="16"/>
      <c r="I91" s="174"/>
      <c r="J91" s="16"/>
      <c r="K91" s="16"/>
      <c r="L91" s="16"/>
    </row>
    <row r="92" spans="1:14" x14ac:dyDescent="0.4">
      <c r="A92" s="167"/>
      <c r="B92" s="167"/>
      <c r="C92" s="258"/>
      <c r="D92" s="166"/>
      <c r="E92" s="166"/>
      <c r="F92" s="16"/>
      <c r="G92" s="16"/>
      <c r="H92" s="16"/>
      <c r="I92" s="174"/>
      <c r="J92" s="16"/>
      <c r="K92" s="16"/>
      <c r="L92" s="16"/>
    </row>
    <row r="93" spans="1:14" x14ac:dyDescent="0.4">
      <c r="A93" s="167"/>
      <c r="B93" s="167"/>
      <c r="C93" s="258"/>
      <c r="D93" s="166"/>
      <c r="E93" s="166"/>
      <c r="F93" s="16"/>
      <c r="G93" s="16"/>
      <c r="H93" s="16"/>
      <c r="I93" s="174"/>
      <c r="J93" s="16"/>
      <c r="K93" s="16"/>
      <c r="L93" s="16"/>
    </row>
    <row r="94" spans="1:14" x14ac:dyDescent="0.4">
      <c r="A94" s="167"/>
      <c r="B94" s="167"/>
      <c r="C94" s="258"/>
      <c r="D94" s="166"/>
      <c r="E94" s="166"/>
      <c r="F94" s="16"/>
      <c r="G94" s="16"/>
      <c r="H94" s="16"/>
      <c r="I94" s="174"/>
      <c r="J94" s="16"/>
      <c r="K94" s="16"/>
      <c r="L94" s="16"/>
    </row>
    <row r="95" spans="1:14" x14ac:dyDescent="0.4">
      <c r="A95" s="167"/>
      <c r="B95" s="167"/>
      <c r="C95" s="258"/>
      <c r="D95" s="166"/>
      <c r="E95" s="166"/>
      <c r="F95" s="16"/>
      <c r="G95" s="16"/>
      <c r="H95" s="16"/>
      <c r="I95" s="174"/>
      <c r="J95" s="16"/>
      <c r="K95" s="16"/>
      <c r="L95" s="16"/>
    </row>
    <row r="96" spans="1:14" x14ac:dyDescent="0.4">
      <c r="A96" s="167"/>
      <c r="B96" s="167"/>
      <c r="C96" s="258"/>
      <c r="D96" s="166"/>
      <c r="E96" s="166"/>
      <c r="F96" s="16"/>
      <c r="G96" s="16"/>
      <c r="H96" s="16"/>
      <c r="I96" s="174"/>
      <c r="J96" s="16"/>
      <c r="K96" s="16"/>
      <c r="L96" s="16"/>
    </row>
    <row r="97" spans="1:12" x14ac:dyDescent="0.4">
      <c r="A97" s="167"/>
      <c r="B97" s="167"/>
      <c r="C97" s="258"/>
      <c r="D97" s="166"/>
      <c r="E97" s="166"/>
      <c r="F97" s="16"/>
      <c r="G97" s="16"/>
      <c r="H97" s="16"/>
      <c r="I97" s="174"/>
      <c r="J97" s="16"/>
      <c r="K97" s="16"/>
      <c r="L97" s="16"/>
    </row>
    <row r="98" spans="1:12" x14ac:dyDescent="0.4">
      <c r="A98" s="167"/>
      <c r="B98" s="167"/>
      <c r="C98" s="258"/>
      <c r="D98" s="166"/>
      <c r="E98" s="166"/>
      <c r="F98" s="16"/>
      <c r="G98" s="16"/>
      <c r="H98" s="16"/>
      <c r="I98" s="174"/>
      <c r="J98" s="16"/>
      <c r="K98" s="16"/>
      <c r="L98" s="16"/>
    </row>
    <row r="99" spans="1:12" x14ac:dyDescent="0.4">
      <c r="A99" s="176"/>
      <c r="B99" s="167"/>
      <c r="C99" s="167"/>
      <c r="D99" s="166"/>
      <c r="E99" s="166"/>
      <c r="F99" s="166"/>
      <c r="G99" s="166"/>
      <c r="H99" s="166"/>
      <c r="I99" s="167"/>
      <c r="J99" s="16"/>
      <c r="K99" s="16"/>
      <c r="L99" s="16"/>
    </row>
    <row r="100" spans="1:12" x14ac:dyDescent="0.4">
      <c r="A100" s="176"/>
      <c r="B100" s="167"/>
      <c r="C100" s="167"/>
      <c r="D100" s="166"/>
      <c r="E100" s="166"/>
      <c r="F100" s="166"/>
      <c r="G100" s="166"/>
      <c r="H100" s="166"/>
      <c r="I100" s="167"/>
      <c r="J100" s="16"/>
      <c r="K100" s="16"/>
      <c r="L100" s="16"/>
    </row>
    <row r="101" spans="1:12" x14ac:dyDescent="0.4">
      <c r="A101" s="176"/>
      <c r="B101" s="167"/>
      <c r="C101" s="167"/>
      <c r="D101" s="166"/>
      <c r="E101" s="166"/>
      <c r="F101" s="166"/>
      <c r="G101" s="166"/>
      <c r="H101" s="166"/>
      <c r="I101" s="167"/>
      <c r="J101" s="16"/>
      <c r="K101" s="16"/>
      <c r="L101" s="16"/>
    </row>
    <row r="102" spans="1:12" x14ac:dyDescent="0.4">
      <c r="C102" s="167"/>
      <c r="D102" s="166"/>
      <c r="E102" s="166"/>
      <c r="F102" s="166"/>
      <c r="G102" s="166"/>
      <c r="H102" s="166"/>
      <c r="I102" s="167"/>
      <c r="J102" s="16"/>
      <c r="K102" s="16"/>
      <c r="L102" s="16"/>
    </row>
    <row r="103" spans="1:12" x14ac:dyDescent="0.4">
      <c r="A103" s="166"/>
      <c r="B103" s="171" t="s">
        <v>145</v>
      </c>
      <c r="C103" s="166"/>
      <c r="D103" s="171"/>
      <c r="E103" s="166"/>
      <c r="G103" s="171"/>
      <c r="H103" s="171" t="s">
        <v>145</v>
      </c>
      <c r="I103" s="166"/>
      <c r="J103" s="166"/>
      <c r="K103" s="166"/>
      <c r="L103" s="166"/>
    </row>
    <row r="104" spans="1:12" ht="9" customHeight="1" x14ac:dyDescent="0.4">
      <c r="A104" s="288"/>
      <c r="B104" s="288"/>
      <c r="C104" s="288"/>
      <c r="D104" s="288"/>
      <c r="E104" s="288"/>
      <c r="F104" s="288"/>
      <c r="G104" s="288"/>
      <c r="H104" s="288"/>
      <c r="I104" s="288"/>
      <c r="J104" s="288"/>
      <c r="K104" s="288"/>
      <c r="L104" s="288"/>
    </row>
    <row r="105" spans="1:12" x14ac:dyDescent="0.4">
      <c r="B105" s="171"/>
      <c r="C105" s="166"/>
      <c r="D105" s="171"/>
      <c r="E105" s="171"/>
      <c r="F105" s="171"/>
      <c r="G105" s="171"/>
      <c r="H105" s="166"/>
      <c r="I105" s="171"/>
      <c r="J105" s="171"/>
      <c r="K105" s="171"/>
      <c r="L105" s="171"/>
    </row>
    <row r="106" spans="1:12" x14ac:dyDescent="0.4">
      <c r="A106" s="171"/>
      <c r="B106" s="172"/>
      <c r="C106" s="166"/>
      <c r="D106" s="166"/>
      <c r="E106" s="166"/>
      <c r="F106" s="166"/>
      <c r="G106" s="166"/>
      <c r="H106" s="166"/>
      <c r="I106" s="166"/>
      <c r="J106" s="166"/>
      <c r="K106" s="166"/>
      <c r="L106" s="10"/>
    </row>
    <row r="107" spans="1:12" x14ac:dyDescent="0.4">
      <c r="A107" s="285" t="s">
        <v>131</v>
      </c>
      <c r="B107" s="285"/>
      <c r="C107" s="285"/>
      <c r="D107" s="285"/>
      <c r="E107" s="285"/>
      <c r="F107" s="285"/>
      <c r="G107" s="285"/>
      <c r="H107" s="285"/>
      <c r="I107" s="285"/>
      <c r="J107" s="285"/>
      <c r="K107" s="285"/>
      <c r="L107" s="285"/>
    </row>
    <row r="108" spans="1:12" x14ac:dyDescent="0.4">
      <c r="A108" s="285" t="s">
        <v>237</v>
      </c>
      <c r="B108" s="285"/>
      <c r="C108" s="285"/>
      <c r="D108" s="285"/>
      <c r="E108" s="285"/>
      <c r="F108" s="285"/>
      <c r="G108" s="285"/>
      <c r="H108" s="285"/>
      <c r="I108" s="285"/>
      <c r="J108" s="285"/>
      <c r="K108" s="285"/>
      <c r="L108" s="285"/>
    </row>
    <row r="109" spans="1:12" s="24" customFormat="1" ht="21.75" customHeight="1" x14ac:dyDescent="0.4">
      <c r="A109" s="285" t="str">
        <f>+A57</f>
        <v>AS AT MARCH 31, 2025</v>
      </c>
      <c r="B109" s="285"/>
      <c r="C109" s="285"/>
      <c r="D109" s="285"/>
      <c r="E109" s="285"/>
      <c r="F109" s="285"/>
      <c r="G109" s="285"/>
      <c r="H109" s="285"/>
      <c r="I109" s="285"/>
      <c r="J109" s="285"/>
      <c r="K109" s="285"/>
      <c r="L109" s="285"/>
    </row>
    <row r="110" spans="1:12" x14ac:dyDescent="0.4">
      <c r="A110" s="167"/>
      <c r="B110" s="167"/>
      <c r="C110" s="167"/>
      <c r="F110" s="286" t="s">
        <v>132</v>
      </c>
      <c r="G110" s="286"/>
      <c r="H110" s="286"/>
      <c r="I110" s="286"/>
      <c r="J110" s="286"/>
      <c r="K110" s="286"/>
      <c r="L110" s="286"/>
    </row>
    <row r="111" spans="1:12" ht="18.75" x14ac:dyDescent="0.4">
      <c r="A111" s="167"/>
      <c r="B111" s="167"/>
      <c r="C111" s="167"/>
      <c r="F111" s="287" t="s">
        <v>204</v>
      </c>
      <c r="G111" s="287"/>
      <c r="H111" s="287"/>
      <c r="I111" s="252"/>
      <c r="J111" s="287" t="s">
        <v>205</v>
      </c>
      <c r="K111" s="287"/>
      <c r="L111" s="287"/>
    </row>
    <row r="112" spans="1:12" x14ac:dyDescent="0.4">
      <c r="A112" s="167"/>
      <c r="B112" s="167"/>
      <c r="C112" s="167"/>
      <c r="D112" s="253" t="s">
        <v>133</v>
      </c>
      <c r="F112" s="256" t="str">
        <f>F60</f>
        <v>March  31, 2025</v>
      </c>
      <c r="H112" s="256" t="str">
        <f>H60</f>
        <v>December 31, 2024</v>
      </c>
      <c r="J112" s="256" t="str">
        <f>J60</f>
        <v>March  31, 2025</v>
      </c>
      <c r="K112" s="165"/>
      <c r="L112" s="256" t="str">
        <f>L60</f>
        <v>December 31, 2024</v>
      </c>
    </row>
    <row r="113" spans="1:12" x14ac:dyDescent="0.4">
      <c r="A113" s="165"/>
      <c r="B113" s="165"/>
      <c r="C113" s="165"/>
      <c r="F113" s="255" t="s">
        <v>370</v>
      </c>
      <c r="G113" s="255"/>
      <c r="H113" s="255" t="s">
        <v>372</v>
      </c>
      <c r="J113" s="255" t="s">
        <v>370</v>
      </c>
      <c r="K113" s="255"/>
      <c r="L113" s="255" t="s">
        <v>372</v>
      </c>
    </row>
    <row r="114" spans="1:12" x14ac:dyDescent="0.4">
      <c r="A114" s="165"/>
      <c r="B114" s="165"/>
      <c r="C114" s="165"/>
      <c r="F114" s="255" t="s">
        <v>371</v>
      </c>
      <c r="G114" s="255"/>
      <c r="H114" s="255"/>
      <c r="J114" s="255" t="s">
        <v>371</v>
      </c>
      <c r="K114" s="255"/>
      <c r="L114" s="255"/>
    </row>
    <row r="115" spans="1:12" x14ac:dyDescent="0.4">
      <c r="A115" s="258" t="s">
        <v>151</v>
      </c>
      <c r="B115" s="167"/>
      <c r="C115" s="167"/>
      <c r="D115" s="166"/>
      <c r="E115" s="166"/>
      <c r="F115" s="25"/>
      <c r="G115" s="25"/>
      <c r="H115" s="26"/>
      <c r="I115" s="167"/>
      <c r="J115" s="25"/>
      <c r="K115" s="25"/>
      <c r="L115" s="25"/>
    </row>
    <row r="116" spans="1:12" x14ac:dyDescent="0.4">
      <c r="A116" s="167"/>
      <c r="B116" s="167" t="s">
        <v>277</v>
      </c>
      <c r="C116" s="167"/>
      <c r="D116" s="166"/>
      <c r="E116" s="166"/>
      <c r="F116" s="257"/>
      <c r="G116" s="257"/>
      <c r="H116" s="257"/>
      <c r="I116" s="169"/>
      <c r="J116" s="20"/>
      <c r="K116" s="20"/>
      <c r="L116" s="13"/>
    </row>
    <row r="117" spans="1:12" x14ac:dyDescent="0.4">
      <c r="A117" s="167"/>
      <c r="B117" s="167" t="s">
        <v>152</v>
      </c>
      <c r="C117" s="167"/>
      <c r="D117" s="166"/>
      <c r="E117" s="166"/>
      <c r="F117" s="257"/>
      <c r="G117" s="257"/>
      <c r="H117" s="257"/>
      <c r="I117" s="169"/>
      <c r="J117" s="20"/>
      <c r="K117" s="20"/>
      <c r="L117" s="13"/>
    </row>
    <row r="118" spans="1:12" ht="18.75" thickBot="1" x14ac:dyDescent="0.45">
      <c r="A118" s="167"/>
      <c r="B118" s="167"/>
      <c r="C118" s="261" t="s">
        <v>374</v>
      </c>
      <c r="D118" s="166">
        <v>23</v>
      </c>
      <c r="E118" s="166"/>
      <c r="F118" s="262">
        <v>1657854486.8800001</v>
      </c>
      <c r="G118" s="257"/>
      <c r="H118" s="262">
        <v>1657854486.8800001</v>
      </c>
      <c r="I118" s="169"/>
      <c r="J118" s="262">
        <v>1657854486.8800001</v>
      </c>
      <c r="K118" s="257"/>
      <c r="L118" s="262">
        <v>1657854486.8800001</v>
      </c>
    </row>
    <row r="119" spans="1:12" ht="18.75" thickTop="1" x14ac:dyDescent="0.4">
      <c r="A119" s="167"/>
      <c r="B119" s="167" t="s">
        <v>191</v>
      </c>
      <c r="C119" s="167"/>
      <c r="D119" s="166"/>
      <c r="E119" s="166"/>
      <c r="F119" s="257"/>
      <c r="G119" s="257"/>
      <c r="H119" s="257"/>
      <c r="I119" s="169"/>
      <c r="J119" s="13"/>
      <c r="K119" s="13"/>
      <c r="L119" s="13"/>
    </row>
    <row r="120" spans="1:12" x14ac:dyDescent="0.4">
      <c r="A120" s="167"/>
      <c r="B120" s="167"/>
      <c r="C120" s="261" t="s">
        <v>375</v>
      </c>
      <c r="D120" s="166">
        <v>23</v>
      </c>
      <c r="E120" s="166"/>
      <c r="F120" s="13">
        <f>'Changed-Conso'!D32</f>
        <v>1350102558.8800001</v>
      </c>
      <c r="G120" s="13"/>
      <c r="H120" s="13">
        <v>1350102558.8800001</v>
      </c>
      <c r="I120" s="13"/>
      <c r="J120" s="13">
        <f>'Changed-Com'!D31</f>
        <v>1350102558.8800001</v>
      </c>
      <c r="K120" s="13"/>
      <c r="L120" s="13">
        <v>1350102558.8800001</v>
      </c>
    </row>
    <row r="121" spans="1:12" s="178" customFormat="1" x14ac:dyDescent="0.4">
      <c r="A121" s="167"/>
      <c r="B121" s="167" t="s">
        <v>278</v>
      </c>
      <c r="C121" s="263"/>
      <c r="D121" s="166">
        <v>23</v>
      </c>
      <c r="E121" s="166"/>
      <c r="F121" s="13">
        <f>'Changed-Conso'!H32</f>
        <v>1344904738.7199998</v>
      </c>
      <c r="G121" s="13"/>
      <c r="H121" s="13">
        <v>1344904738.7199998</v>
      </c>
      <c r="I121" s="169"/>
      <c r="J121" s="13">
        <f>'Changed-Com'!H31</f>
        <v>1344904738.7199998</v>
      </c>
      <c r="K121" s="13"/>
      <c r="L121" s="13">
        <v>1344904738.7199998</v>
      </c>
    </row>
    <row r="122" spans="1:12" x14ac:dyDescent="0.4">
      <c r="A122" s="167"/>
      <c r="B122" s="167" t="s">
        <v>153</v>
      </c>
      <c r="C122" s="167"/>
      <c r="D122" s="166"/>
      <c r="E122" s="166"/>
      <c r="F122" s="13"/>
      <c r="G122" s="13"/>
      <c r="H122" s="257"/>
      <c r="I122" s="169"/>
      <c r="J122" s="13"/>
      <c r="K122" s="13"/>
      <c r="L122" s="13"/>
    </row>
    <row r="123" spans="1:12" s="178" customFormat="1" x14ac:dyDescent="0.4">
      <c r="A123" s="167"/>
      <c r="B123" s="167"/>
      <c r="C123" s="167" t="s">
        <v>154</v>
      </c>
      <c r="D123" s="166"/>
      <c r="E123" s="166"/>
      <c r="F123" s="141">
        <f>'Changed-Conso'!L32</f>
        <v>111952161.69</v>
      </c>
      <c r="G123" s="141"/>
      <c r="H123" s="141">
        <v>111952161.69</v>
      </c>
      <c r="I123" s="169"/>
      <c r="J123" s="141">
        <f>'Changed-Com'!R31</f>
        <v>111952161.69</v>
      </c>
      <c r="K123" s="141"/>
      <c r="L123" s="141">
        <v>111952161.69</v>
      </c>
    </row>
    <row r="124" spans="1:12" s="178" customFormat="1" x14ac:dyDescent="0.4">
      <c r="A124" s="167"/>
      <c r="B124" s="167"/>
      <c r="C124" s="167" t="s">
        <v>155</v>
      </c>
      <c r="D124" s="264"/>
      <c r="E124" s="166"/>
      <c r="F124" s="20">
        <f>'Changed-Conso'!N32</f>
        <v>487490995.5600003</v>
      </c>
      <c r="G124" s="20"/>
      <c r="H124" s="257">
        <v>822100957.76000035</v>
      </c>
      <c r="I124" s="169"/>
      <c r="J124" s="20">
        <f>'Changed-Com'!T31</f>
        <v>494362451.67000014</v>
      </c>
      <c r="K124" s="20"/>
      <c r="L124" s="20">
        <v>584721503.51000011</v>
      </c>
    </row>
    <row r="125" spans="1:12" s="178" customFormat="1" x14ac:dyDescent="0.4">
      <c r="A125" s="167"/>
      <c r="B125" s="167" t="s">
        <v>228</v>
      </c>
      <c r="C125" s="164"/>
      <c r="D125" s="164"/>
      <c r="E125" s="164"/>
      <c r="F125" s="138">
        <f>'Changed-Conso'!T32</f>
        <v>5920798.8300000019</v>
      </c>
      <c r="G125" s="20"/>
      <c r="H125" s="138">
        <v>6366700.7300000014</v>
      </c>
      <c r="I125" s="169"/>
      <c r="J125" s="138">
        <v>0</v>
      </c>
      <c r="K125" s="20"/>
      <c r="L125" s="138">
        <v>0</v>
      </c>
    </row>
    <row r="126" spans="1:12" x14ac:dyDescent="0.4">
      <c r="A126" s="167"/>
      <c r="B126" s="167"/>
      <c r="C126" s="167" t="s">
        <v>262</v>
      </c>
      <c r="D126" s="166"/>
      <c r="E126" s="166"/>
      <c r="F126" s="13">
        <f>SUM(F120:F125)</f>
        <v>3300371253.6800003</v>
      </c>
      <c r="G126" s="13"/>
      <c r="H126" s="13">
        <f>SUM(H120:H125)</f>
        <v>3635427117.7800002</v>
      </c>
      <c r="I126" s="169"/>
      <c r="J126" s="13">
        <f>SUM(J120:J125)</f>
        <v>3301321910.96</v>
      </c>
      <c r="K126" s="13"/>
      <c r="L126" s="13">
        <f>SUM(L120:L125)</f>
        <v>3391680962.8000002</v>
      </c>
    </row>
    <row r="127" spans="1:12" s="178" customFormat="1" x14ac:dyDescent="0.4">
      <c r="A127" s="167"/>
      <c r="B127" s="167" t="s">
        <v>232</v>
      </c>
      <c r="C127" s="167"/>
      <c r="D127" s="166"/>
      <c r="E127" s="166"/>
      <c r="F127" s="265">
        <f>'Changed-Conso'!X32</f>
        <v>62000497.32</v>
      </c>
      <c r="G127" s="257"/>
      <c r="H127" s="265">
        <v>62140406.899999999</v>
      </c>
      <c r="I127" s="169"/>
      <c r="J127" s="138">
        <v>0</v>
      </c>
      <c r="K127" s="20"/>
      <c r="L127" s="138">
        <v>0</v>
      </c>
    </row>
    <row r="128" spans="1:12" x14ac:dyDescent="0.4">
      <c r="A128" s="167"/>
      <c r="B128" s="167"/>
      <c r="C128" s="167" t="s">
        <v>263</v>
      </c>
      <c r="D128" s="166"/>
      <c r="E128" s="166"/>
      <c r="F128" s="13">
        <f>+F127+F126</f>
        <v>3362371751.0000005</v>
      </c>
      <c r="G128" s="13"/>
      <c r="H128" s="13">
        <f>+H127+H126</f>
        <v>3697567524.6800003</v>
      </c>
      <c r="I128" s="169"/>
      <c r="J128" s="13">
        <f>+J127+J126</f>
        <v>3301321910.96</v>
      </c>
      <c r="K128" s="13"/>
      <c r="L128" s="13">
        <f>+L127+L126</f>
        <v>3391680962.8000002</v>
      </c>
    </row>
    <row r="129" spans="1:20" ht="18.75" thickBot="1" x14ac:dyDescent="0.45">
      <c r="A129" s="174" t="s">
        <v>156</v>
      </c>
      <c r="B129" s="167"/>
      <c r="C129" s="167"/>
      <c r="D129" s="166"/>
      <c r="E129" s="166"/>
      <c r="F129" s="142">
        <f>+F128+F84</f>
        <v>3753126058.1200004</v>
      </c>
      <c r="G129" s="20"/>
      <c r="H129" s="142">
        <f>+H128+H84</f>
        <v>4001470372.5100002</v>
      </c>
      <c r="I129" s="169"/>
      <c r="J129" s="142">
        <f>+J128+J84</f>
        <v>3697157962.4299998</v>
      </c>
      <c r="K129" s="20"/>
      <c r="L129" s="142">
        <f>+L128+L84</f>
        <v>3701036601.9400001</v>
      </c>
      <c r="N129" s="177">
        <f>F129-F46</f>
        <v>0</v>
      </c>
      <c r="P129" s="177" t="e">
        <f>#REF!-#REF!</f>
        <v>#REF!</v>
      </c>
      <c r="R129" s="177">
        <f>J129-J46</f>
        <v>0</v>
      </c>
      <c r="T129" s="177" t="e">
        <f>#REF!-#REF!</f>
        <v>#REF!</v>
      </c>
    </row>
    <row r="130" spans="1:20" ht="18.75" thickTop="1" x14ac:dyDescent="0.4">
      <c r="A130" s="167"/>
      <c r="F130" s="266"/>
      <c r="G130" s="266"/>
      <c r="H130" s="266"/>
      <c r="I130" s="175"/>
      <c r="J130" s="4"/>
      <c r="K130" s="4"/>
      <c r="L130" s="4"/>
    </row>
    <row r="131" spans="1:20" x14ac:dyDescent="0.4">
      <c r="A131" s="259" t="s">
        <v>373</v>
      </c>
      <c r="B131" s="167"/>
      <c r="C131" s="167"/>
      <c r="D131" s="166"/>
      <c r="E131" s="166"/>
      <c r="F131" s="20"/>
      <c r="G131" s="20"/>
      <c r="H131" s="20"/>
      <c r="I131" s="169"/>
      <c r="J131" s="20"/>
      <c r="K131" s="20"/>
      <c r="L131" s="20"/>
    </row>
    <row r="132" spans="1:20" x14ac:dyDescent="0.4">
      <c r="A132" s="167"/>
      <c r="B132" s="167"/>
      <c r="C132" s="167"/>
      <c r="D132" s="166"/>
      <c r="E132" s="166"/>
      <c r="F132" s="16"/>
      <c r="G132" s="16"/>
      <c r="H132" s="16"/>
      <c r="I132" s="167"/>
      <c r="J132" s="16"/>
      <c r="K132" s="16"/>
      <c r="L132" s="16"/>
    </row>
    <row r="133" spans="1:20" x14ac:dyDescent="0.4">
      <c r="A133" s="167"/>
      <c r="B133" s="167"/>
      <c r="C133" s="167"/>
      <c r="D133" s="166"/>
      <c r="E133" s="166"/>
      <c r="F133" s="16"/>
      <c r="G133" s="16"/>
      <c r="H133" s="16"/>
      <c r="I133" s="167"/>
      <c r="J133" s="16"/>
      <c r="K133" s="16"/>
      <c r="L133" s="16"/>
    </row>
    <row r="134" spans="1:20" x14ac:dyDescent="0.4">
      <c r="A134" s="167"/>
      <c r="B134" s="167"/>
      <c r="C134" s="167"/>
      <c r="D134" s="166"/>
      <c r="E134" s="166"/>
      <c r="F134" s="16"/>
      <c r="G134" s="16"/>
      <c r="H134" s="16"/>
      <c r="I134" s="167"/>
      <c r="J134" s="16"/>
      <c r="K134" s="16"/>
      <c r="L134" s="16"/>
    </row>
    <row r="135" spans="1:20" x14ac:dyDescent="0.4">
      <c r="A135" s="167"/>
      <c r="B135" s="167"/>
      <c r="C135" s="167"/>
      <c r="D135" s="166"/>
      <c r="E135" s="166"/>
      <c r="F135" s="16"/>
      <c r="G135" s="16"/>
      <c r="H135" s="16"/>
      <c r="I135" s="167"/>
      <c r="J135" s="16"/>
      <c r="K135" s="16"/>
      <c r="L135" s="16"/>
    </row>
    <row r="136" spans="1:20" x14ac:dyDescent="0.4">
      <c r="A136" s="167"/>
      <c r="B136" s="167"/>
      <c r="C136" s="167"/>
      <c r="D136" s="166"/>
      <c r="E136" s="166"/>
      <c r="F136" s="16"/>
      <c r="G136" s="16"/>
      <c r="H136" s="16"/>
      <c r="I136" s="167"/>
      <c r="J136" s="16"/>
      <c r="K136" s="16"/>
      <c r="L136" s="16"/>
    </row>
    <row r="137" spans="1:20" x14ac:dyDescent="0.4">
      <c r="A137" s="167"/>
      <c r="B137" s="167"/>
      <c r="C137" s="167"/>
      <c r="D137" s="166"/>
      <c r="E137" s="166"/>
      <c r="F137" s="16"/>
      <c r="G137" s="16"/>
      <c r="H137" s="16"/>
      <c r="I137" s="167"/>
      <c r="J137" s="16"/>
      <c r="K137" s="16"/>
      <c r="L137" s="16"/>
    </row>
    <row r="138" spans="1:20" x14ac:dyDescent="0.4">
      <c r="A138" s="167"/>
      <c r="B138" s="167"/>
      <c r="C138" s="167"/>
      <c r="D138" s="166"/>
      <c r="E138" s="166"/>
      <c r="F138" s="16"/>
      <c r="G138" s="16"/>
      <c r="H138" s="16"/>
      <c r="I138" s="167"/>
      <c r="J138" s="16"/>
      <c r="K138" s="16"/>
      <c r="L138" s="16"/>
    </row>
    <row r="139" spans="1:20" x14ac:dyDescent="0.4">
      <c r="A139" s="167"/>
      <c r="B139" s="167"/>
      <c r="C139" s="167"/>
      <c r="D139" s="166"/>
      <c r="E139" s="166"/>
      <c r="F139" s="16"/>
      <c r="G139" s="16"/>
      <c r="H139" s="16"/>
      <c r="I139" s="167"/>
      <c r="J139" s="16"/>
      <c r="K139" s="16"/>
      <c r="L139" s="16"/>
    </row>
    <row r="140" spans="1:20" x14ac:dyDescent="0.4">
      <c r="B140" s="167"/>
      <c r="C140" s="167"/>
      <c r="D140" s="166"/>
      <c r="E140" s="166"/>
      <c r="F140" s="166"/>
      <c r="G140" s="166"/>
      <c r="H140" s="166"/>
      <c r="I140" s="167"/>
      <c r="J140" s="16"/>
      <c r="K140" s="16"/>
      <c r="L140" s="16"/>
    </row>
    <row r="141" spans="1:20" x14ac:dyDescent="0.4">
      <c r="B141" s="167"/>
      <c r="C141" s="167"/>
      <c r="D141" s="166"/>
      <c r="E141" s="166"/>
      <c r="F141" s="166"/>
      <c r="G141" s="166"/>
      <c r="H141" s="166"/>
      <c r="I141" s="167"/>
      <c r="J141" s="16"/>
      <c r="K141" s="16"/>
      <c r="L141" s="16"/>
    </row>
    <row r="142" spans="1:20" x14ac:dyDescent="0.4">
      <c r="B142" s="167"/>
      <c r="C142" s="167"/>
      <c r="D142" s="166"/>
      <c r="E142" s="166"/>
      <c r="F142" s="166"/>
      <c r="G142" s="166"/>
      <c r="H142" s="166"/>
      <c r="I142" s="167"/>
      <c r="J142" s="16"/>
      <c r="K142" s="16"/>
      <c r="L142" s="16"/>
    </row>
    <row r="143" spans="1:20" x14ac:dyDescent="0.4">
      <c r="B143" s="167"/>
      <c r="C143" s="167"/>
      <c r="D143" s="166"/>
      <c r="E143" s="166"/>
      <c r="F143" s="166"/>
      <c r="G143" s="166"/>
      <c r="H143" s="166"/>
      <c r="I143" s="167"/>
      <c r="J143" s="16"/>
      <c r="K143" s="16"/>
      <c r="L143" s="16"/>
    </row>
    <row r="144" spans="1:20" x14ac:dyDescent="0.4">
      <c r="A144" s="176"/>
      <c r="B144" s="167"/>
      <c r="C144" s="167"/>
      <c r="D144" s="166"/>
      <c r="E144" s="166"/>
      <c r="F144" s="166"/>
      <c r="G144" s="166"/>
      <c r="H144" s="166"/>
      <c r="I144" s="167"/>
      <c r="J144" s="16"/>
      <c r="K144" s="16"/>
      <c r="L144" s="16"/>
    </row>
    <row r="145" spans="1:12" x14ac:dyDescent="0.4">
      <c r="A145" s="176"/>
      <c r="B145" s="167"/>
      <c r="C145" s="167"/>
      <c r="D145" s="166"/>
      <c r="E145" s="166"/>
      <c r="F145" s="166"/>
      <c r="G145" s="166"/>
      <c r="H145" s="166"/>
      <c r="I145" s="167"/>
      <c r="J145" s="16"/>
      <c r="K145" s="16"/>
      <c r="L145" s="16"/>
    </row>
    <row r="146" spans="1:12" x14ac:dyDescent="0.4">
      <c r="A146" s="176"/>
      <c r="B146" s="167"/>
      <c r="C146" s="167"/>
      <c r="D146" s="166"/>
      <c r="E146" s="166"/>
      <c r="F146" s="166"/>
      <c r="G146" s="166"/>
      <c r="H146" s="166"/>
      <c r="I146" s="167"/>
      <c r="J146" s="16"/>
      <c r="K146" s="16"/>
      <c r="L146" s="16"/>
    </row>
    <row r="147" spans="1:12" x14ac:dyDescent="0.4">
      <c r="A147" s="176"/>
      <c r="B147" s="167"/>
      <c r="C147" s="167"/>
      <c r="D147" s="166"/>
      <c r="E147" s="166"/>
      <c r="F147" s="166"/>
      <c r="G147" s="166"/>
      <c r="H147" s="166"/>
      <c r="I147" s="167"/>
      <c r="J147" s="16"/>
      <c r="K147" s="16"/>
      <c r="L147" s="16"/>
    </row>
    <row r="148" spans="1:12" x14ac:dyDescent="0.4">
      <c r="A148" s="176"/>
      <c r="B148" s="167"/>
      <c r="C148" s="167"/>
      <c r="D148" s="166"/>
      <c r="E148" s="166"/>
      <c r="F148" s="166"/>
      <c r="G148" s="166"/>
      <c r="H148" s="166"/>
      <c r="I148" s="167"/>
      <c r="J148" s="16"/>
      <c r="K148" s="16"/>
      <c r="L148" s="16"/>
    </row>
    <row r="149" spans="1:12" x14ac:dyDescent="0.4">
      <c r="A149" s="176"/>
      <c r="B149" s="167"/>
      <c r="C149" s="167"/>
      <c r="D149" s="166"/>
      <c r="E149" s="166"/>
      <c r="F149" s="166"/>
      <c r="G149" s="166"/>
      <c r="H149" s="166"/>
      <c r="I149" s="167"/>
      <c r="J149" s="16"/>
      <c r="K149" s="16"/>
      <c r="L149" s="16"/>
    </row>
    <row r="150" spans="1:12" x14ac:dyDescent="0.4">
      <c r="C150" s="167"/>
      <c r="D150" s="166"/>
      <c r="E150" s="166"/>
      <c r="F150" s="166"/>
      <c r="G150" s="166"/>
      <c r="H150" s="166"/>
      <c r="I150" s="167"/>
      <c r="J150" s="16"/>
      <c r="K150" s="16"/>
      <c r="L150" s="16"/>
    </row>
    <row r="151" spans="1:12" x14ac:dyDescent="0.4">
      <c r="A151" s="166"/>
      <c r="B151" s="171" t="s">
        <v>145</v>
      </c>
      <c r="C151" s="166"/>
      <c r="D151" s="171"/>
      <c r="E151" s="166"/>
      <c r="G151" s="171"/>
      <c r="H151" s="171" t="s">
        <v>145</v>
      </c>
      <c r="I151" s="166"/>
      <c r="J151" s="166"/>
      <c r="K151" s="166"/>
      <c r="L151" s="166"/>
    </row>
    <row r="152" spans="1:12" ht="5.25" customHeight="1" x14ac:dyDescent="0.4">
      <c r="A152" s="288"/>
      <c r="B152" s="288"/>
      <c r="C152" s="288"/>
      <c r="D152" s="288"/>
      <c r="E152" s="288"/>
      <c r="F152" s="288"/>
      <c r="G152" s="288"/>
      <c r="H152" s="288"/>
      <c r="I152" s="288"/>
      <c r="J152" s="288"/>
      <c r="K152" s="288"/>
      <c r="L152" s="288"/>
    </row>
    <row r="153" spans="1:12" x14ac:dyDescent="0.4">
      <c r="A153" s="167"/>
      <c r="B153" s="167"/>
      <c r="C153" s="167"/>
      <c r="D153" s="267" t="s">
        <v>243</v>
      </c>
      <c r="E153" s="166"/>
      <c r="F153" s="20">
        <f>+F129-F46</f>
        <v>0</v>
      </c>
      <c r="G153" s="20"/>
      <c r="H153" s="20">
        <f>+H129-H46</f>
        <v>0</v>
      </c>
      <c r="I153" s="167"/>
      <c r="J153" s="20">
        <f>+J129-J46</f>
        <v>0</v>
      </c>
      <c r="K153" s="20"/>
      <c r="L153" s="20">
        <f>+L129-L46</f>
        <v>0</v>
      </c>
    </row>
  </sheetData>
  <mergeCells count="23">
    <mergeCell ref="A3:L3"/>
    <mergeCell ref="A4:L4"/>
    <mergeCell ref="A5:L5"/>
    <mergeCell ref="F6:L6"/>
    <mergeCell ref="F7:H7"/>
    <mergeCell ref="J7:L7"/>
    <mergeCell ref="A108:L108"/>
    <mergeCell ref="A11:C11"/>
    <mergeCell ref="A52:L52"/>
    <mergeCell ref="A55:L55"/>
    <mergeCell ref="A56:L56"/>
    <mergeCell ref="A57:L57"/>
    <mergeCell ref="F58:L58"/>
    <mergeCell ref="F59:H59"/>
    <mergeCell ref="J59:L59"/>
    <mergeCell ref="A63:C63"/>
    <mergeCell ref="A104:L104"/>
    <mergeCell ref="A107:L107"/>
    <mergeCell ref="A109:L109"/>
    <mergeCell ref="F110:L110"/>
    <mergeCell ref="F111:H111"/>
    <mergeCell ref="J111:L111"/>
    <mergeCell ref="A152:L152"/>
  </mergeCells>
  <pageMargins left="0.78740157480314965" right="0" top="0.51181102362204722" bottom="0.27559055118110237" header="0.35433070866141736" footer="0"/>
  <pageSetup paperSize="9" scale="95" orientation="portrait" useFirstPageNumber="1" r:id="rId1"/>
  <headerFooter alignWithMargins="0">
    <oddFooter>&amp;C&amp;P</oddFooter>
  </headerFooter>
  <rowBreaks count="2" manualBreakCount="2">
    <brk id="52" max="15" man="1"/>
    <brk id="10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C2830-40E2-4390-81FA-94DC3095FA5B}">
  <sheetPr>
    <pageSetUpPr fitToPage="1"/>
  </sheetPr>
  <dimension ref="A1:AD40"/>
  <sheetViews>
    <sheetView view="pageBreakPreview" topLeftCell="A23" zoomScale="130" zoomScaleNormal="100" zoomScaleSheetLayoutView="130" workbookViewId="0">
      <selection activeCell="P45" sqref="P45"/>
    </sheetView>
  </sheetViews>
  <sheetFormatPr defaultColWidth="9.140625" defaultRowHeight="18" x14ac:dyDescent="0.4"/>
  <cols>
    <col min="1" max="1" width="35.140625" style="167" customWidth="1"/>
    <col min="2" max="2" width="5.140625" style="167" customWidth="1"/>
    <col min="3" max="3" width="1.140625" style="167" customWidth="1"/>
    <col min="4" max="4" width="13.140625" style="167" customWidth="1"/>
    <col min="5" max="5" width="1.140625" style="167" customWidth="1"/>
    <col min="6" max="6" width="10.85546875" style="167" hidden="1" customWidth="1"/>
    <col min="7" max="7" width="1.140625" style="167" hidden="1" customWidth="1"/>
    <col min="8" max="8" width="12.42578125" style="167" bestFit="1" customWidth="1"/>
    <col min="9" max="9" width="1.140625" style="167" hidden="1" customWidth="1"/>
    <col min="10" max="10" width="11.85546875" style="167" hidden="1" customWidth="1"/>
    <col min="11" max="11" width="0.85546875" style="167" customWidth="1"/>
    <col min="12" max="12" width="11.85546875" style="167" customWidth="1"/>
    <col min="13" max="13" width="1" style="167" customWidth="1"/>
    <col min="14" max="14" width="12.85546875" style="167" customWidth="1"/>
    <col min="15" max="15" width="1" style="167" customWidth="1"/>
    <col min="16" max="16" width="13.42578125" style="167" customWidth="1"/>
    <col min="17" max="17" width="1" style="167" customWidth="1"/>
    <col min="18" max="18" width="11.85546875" style="167" customWidth="1"/>
    <col min="19" max="19" width="1" style="167" customWidth="1"/>
    <col min="20" max="20" width="12.85546875" style="167" customWidth="1"/>
    <col min="21" max="21" width="1.140625" style="167" customWidth="1"/>
    <col min="22" max="22" width="12.85546875" style="167" bestFit="1" customWidth="1"/>
    <col min="23" max="23" width="1.140625" style="167" customWidth="1"/>
    <col min="24" max="24" width="11.85546875" style="167" bestFit="1" customWidth="1"/>
    <col min="25" max="25" width="1.140625" style="167" customWidth="1"/>
    <col min="26" max="26" width="12.85546875" style="167" bestFit="1" customWidth="1"/>
    <col min="27" max="27" width="11.140625" style="167" hidden="1" customWidth="1"/>
    <col min="28" max="28" width="12.42578125" style="167" bestFit="1" customWidth="1"/>
    <col min="29" max="29" width="16.85546875" style="167" customWidth="1"/>
    <col min="30" max="16384" width="9.140625" style="167"/>
  </cols>
  <sheetData>
    <row r="1" spans="1:29" ht="21.75" customHeight="1" x14ac:dyDescent="0.4">
      <c r="A1" s="164"/>
      <c r="X1" s="293" t="s">
        <v>315</v>
      </c>
      <c r="Y1" s="293"/>
      <c r="Z1" s="293"/>
    </row>
    <row r="2" spans="1:29" x14ac:dyDescent="0.4">
      <c r="A2" s="294" t="s">
        <v>131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W2" s="294"/>
      <c r="X2" s="294"/>
      <c r="Y2" s="294"/>
      <c r="Z2" s="294"/>
    </row>
    <row r="3" spans="1:29" x14ac:dyDescent="0.4">
      <c r="A3" s="294" t="s">
        <v>257</v>
      </c>
      <c r="B3" s="294"/>
      <c r="C3" s="294"/>
      <c r="D3" s="294"/>
      <c r="E3" s="294"/>
      <c r="F3" s="294"/>
      <c r="G3" s="294"/>
      <c r="H3" s="294"/>
      <c r="I3" s="294"/>
      <c r="J3" s="294"/>
      <c r="K3" s="294"/>
      <c r="L3" s="294"/>
      <c r="M3" s="294"/>
      <c r="N3" s="294"/>
      <c r="O3" s="294"/>
      <c r="P3" s="294"/>
      <c r="Q3" s="294"/>
      <c r="R3" s="294"/>
      <c r="S3" s="294"/>
      <c r="T3" s="294"/>
      <c r="U3" s="294"/>
      <c r="V3" s="294"/>
      <c r="W3" s="294"/>
      <c r="X3" s="294"/>
      <c r="Y3" s="294"/>
      <c r="Z3" s="294"/>
      <c r="AA3" s="174"/>
      <c r="AB3" s="174"/>
    </row>
    <row r="4" spans="1:29" ht="18" customHeight="1" x14ac:dyDescent="0.4">
      <c r="A4" s="294" t="s">
        <v>206</v>
      </c>
      <c r="B4" s="294"/>
      <c r="C4" s="294"/>
      <c r="D4" s="294"/>
      <c r="E4" s="294"/>
      <c r="F4" s="294"/>
      <c r="G4" s="294"/>
      <c r="H4" s="294"/>
      <c r="I4" s="294"/>
      <c r="J4" s="294"/>
      <c r="K4" s="294"/>
      <c r="L4" s="294"/>
      <c r="M4" s="294"/>
      <c r="N4" s="294"/>
      <c r="O4" s="294"/>
      <c r="P4" s="294"/>
      <c r="Q4" s="294"/>
      <c r="R4" s="294"/>
      <c r="S4" s="294"/>
      <c r="T4" s="294"/>
      <c r="U4" s="294"/>
      <c r="V4" s="294"/>
      <c r="W4" s="294"/>
      <c r="X4" s="294"/>
      <c r="Y4" s="294"/>
      <c r="Z4" s="294"/>
    </row>
    <row r="5" spans="1:29" x14ac:dyDescent="0.4">
      <c r="A5" s="294" t="s">
        <v>357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  <c r="P5" s="294"/>
      <c r="Q5" s="294"/>
      <c r="R5" s="294"/>
      <c r="S5" s="294"/>
      <c r="T5" s="294"/>
      <c r="U5" s="294"/>
      <c r="V5" s="294"/>
      <c r="W5" s="294"/>
      <c r="X5" s="294"/>
      <c r="Y5" s="294"/>
      <c r="Z5" s="294"/>
    </row>
    <row r="6" spans="1:29" ht="7.5" customHeight="1" x14ac:dyDescent="0.4">
      <c r="A6" s="168"/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</row>
    <row r="7" spans="1:29" x14ac:dyDescent="0.4">
      <c r="A7" s="26"/>
      <c r="B7" s="168"/>
      <c r="C7" s="168"/>
      <c r="D7" s="295" t="s">
        <v>165</v>
      </c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  <c r="R7" s="295"/>
      <c r="S7" s="295"/>
      <c r="T7" s="295"/>
      <c r="U7" s="295"/>
      <c r="V7" s="295"/>
      <c r="W7" s="295"/>
      <c r="X7" s="295"/>
      <c r="Y7" s="295"/>
      <c r="Z7" s="295"/>
    </row>
    <row r="8" spans="1:29" x14ac:dyDescent="0.4">
      <c r="A8" s="26"/>
      <c r="B8" s="168"/>
      <c r="C8" s="168"/>
      <c r="D8" s="20"/>
      <c r="E8" s="20"/>
      <c r="F8" s="179"/>
      <c r="G8" s="179"/>
      <c r="H8" s="179"/>
      <c r="I8" s="20"/>
      <c r="J8" s="20"/>
      <c r="K8" s="20"/>
      <c r="L8" s="291" t="s">
        <v>153</v>
      </c>
      <c r="M8" s="291"/>
      <c r="N8" s="291"/>
      <c r="O8" s="13"/>
      <c r="P8" s="292" t="s">
        <v>228</v>
      </c>
      <c r="Q8" s="292"/>
      <c r="R8" s="292"/>
      <c r="S8" s="292"/>
      <c r="T8" s="292"/>
      <c r="U8" s="168"/>
      <c r="V8" s="180"/>
      <c r="W8" s="181"/>
      <c r="X8" s="135"/>
    </row>
    <row r="9" spans="1:29" x14ac:dyDescent="0.4">
      <c r="D9" s="179"/>
      <c r="E9" s="13"/>
      <c r="F9" s="179"/>
      <c r="G9" s="179"/>
      <c r="H9" s="179"/>
      <c r="I9" s="13"/>
      <c r="J9" s="28" t="s">
        <v>281</v>
      </c>
      <c r="K9" s="13"/>
      <c r="O9" s="28"/>
      <c r="P9" s="28"/>
      <c r="Q9" s="28"/>
      <c r="R9" s="31" t="s">
        <v>295</v>
      </c>
      <c r="S9" s="31"/>
      <c r="T9" s="30"/>
      <c r="U9" s="13"/>
      <c r="V9" s="166" t="s">
        <v>255</v>
      </c>
      <c r="W9" s="30"/>
    </row>
    <row r="10" spans="1:29" x14ac:dyDescent="0.4">
      <c r="B10" s="166"/>
      <c r="D10" s="28" t="s">
        <v>202</v>
      </c>
      <c r="E10" s="28"/>
      <c r="F10" s="28"/>
      <c r="G10" s="28"/>
      <c r="H10" s="28" t="s">
        <v>279</v>
      </c>
      <c r="I10" s="28"/>
      <c r="J10" s="28" t="s">
        <v>282</v>
      </c>
      <c r="K10" s="28"/>
      <c r="L10" s="28"/>
      <c r="M10" s="28"/>
      <c r="N10" s="28"/>
      <c r="O10" s="28"/>
      <c r="P10" s="28" t="s">
        <v>169</v>
      </c>
      <c r="Q10" s="28"/>
      <c r="R10" s="31" t="s">
        <v>296</v>
      </c>
      <c r="S10" s="31"/>
      <c r="T10" s="30" t="s">
        <v>230</v>
      </c>
      <c r="U10" s="13"/>
      <c r="V10" s="168" t="s">
        <v>254</v>
      </c>
      <c r="W10" s="30"/>
      <c r="X10" s="30" t="s">
        <v>226</v>
      </c>
    </row>
    <row r="11" spans="1:29" x14ac:dyDescent="0.4">
      <c r="B11" s="166"/>
      <c r="D11" s="28" t="s">
        <v>166</v>
      </c>
      <c r="E11" s="28"/>
      <c r="F11" s="28"/>
      <c r="G11" s="28"/>
      <c r="H11" s="28" t="s">
        <v>280</v>
      </c>
      <c r="I11" s="28"/>
      <c r="J11" s="28" t="s">
        <v>283</v>
      </c>
      <c r="K11" s="28"/>
      <c r="L11" s="28" t="s">
        <v>173</v>
      </c>
      <c r="M11" s="28"/>
      <c r="N11" s="28"/>
      <c r="O11" s="28"/>
      <c r="P11" s="28" t="s">
        <v>170</v>
      </c>
      <c r="Q11" s="28"/>
      <c r="R11" s="31" t="s">
        <v>297</v>
      </c>
      <c r="S11" s="31"/>
      <c r="T11" s="28" t="s">
        <v>231</v>
      </c>
      <c r="U11" s="13"/>
      <c r="V11" s="168" t="s">
        <v>219</v>
      </c>
      <c r="W11" s="30"/>
      <c r="X11" s="30" t="s">
        <v>227</v>
      </c>
    </row>
    <row r="12" spans="1:29" x14ac:dyDescent="0.4">
      <c r="B12" s="182" t="s">
        <v>218</v>
      </c>
      <c r="D12" s="154" t="s">
        <v>167</v>
      </c>
      <c r="E12" s="154"/>
      <c r="F12" s="154" t="s">
        <v>244</v>
      </c>
      <c r="G12" s="154"/>
      <c r="H12" s="154" t="s">
        <v>168</v>
      </c>
      <c r="I12" s="154"/>
      <c r="J12" s="154" t="s">
        <v>284</v>
      </c>
      <c r="K12" s="154"/>
      <c r="L12" s="154" t="s">
        <v>174</v>
      </c>
      <c r="M12" s="154"/>
      <c r="N12" s="154" t="s">
        <v>155</v>
      </c>
      <c r="O12" s="31"/>
      <c r="P12" s="154" t="s">
        <v>171</v>
      </c>
      <c r="Q12" s="31"/>
      <c r="R12" s="154" t="s">
        <v>298</v>
      </c>
      <c r="S12" s="31"/>
      <c r="T12" s="154" t="s">
        <v>229</v>
      </c>
      <c r="U12" s="13"/>
      <c r="V12" s="183" t="s">
        <v>220</v>
      </c>
      <c r="W12" s="30"/>
      <c r="X12" s="153" t="s">
        <v>248</v>
      </c>
      <c r="Z12" s="153" t="s">
        <v>175</v>
      </c>
      <c r="AC12" s="31"/>
    </row>
    <row r="13" spans="1:29" x14ac:dyDescent="0.4">
      <c r="C13" s="31"/>
      <c r="D13" s="169"/>
      <c r="E13" s="169"/>
      <c r="F13" s="169"/>
      <c r="G13" s="169"/>
      <c r="H13" s="169"/>
      <c r="I13" s="169"/>
      <c r="J13" s="169"/>
      <c r="K13" s="169"/>
      <c r="L13" s="31"/>
      <c r="M13" s="31"/>
      <c r="N13" s="145"/>
      <c r="O13" s="169"/>
      <c r="P13" s="169"/>
      <c r="Q13" s="169"/>
      <c r="R13" s="31"/>
      <c r="S13" s="31"/>
      <c r="T13" s="31"/>
      <c r="U13" s="169"/>
      <c r="V13" s="31"/>
      <c r="W13" s="31"/>
      <c r="X13" s="31"/>
      <c r="Y13" s="169"/>
      <c r="Z13" s="145"/>
    </row>
    <row r="14" spans="1:29" x14ac:dyDescent="0.4">
      <c r="A14" s="167" t="s">
        <v>324</v>
      </c>
      <c r="D14" s="20">
        <v>1164401069.76</v>
      </c>
      <c r="E14" s="20"/>
      <c r="F14" s="20">
        <v>0</v>
      </c>
      <c r="G14" s="20"/>
      <c r="H14" s="20">
        <v>688264273.16999996</v>
      </c>
      <c r="I14" s="20"/>
      <c r="J14" s="20">
        <v>0</v>
      </c>
      <c r="K14" s="20"/>
      <c r="L14" s="20">
        <v>107803033.52</v>
      </c>
      <c r="M14" s="20"/>
      <c r="N14" s="20">
        <v>904903721.64000022</v>
      </c>
      <c r="O14" s="20"/>
      <c r="P14" s="20">
        <v>7757018.6100000013</v>
      </c>
      <c r="Q14" s="20"/>
      <c r="R14" s="20">
        <v>0</v>
      </c>
      <c r="S14" s="20"/>
      <c r="T14" s="20">
        <f>SUM(P14:S14)</f>
        <v>7757018.6100000013</v>
      </c>
      <c r="U14" s="20"/>
      <c r="V14" s="20">
        <f>SUM(D14:O14)+T14</f>
        <v>2873129116.7000003</v>
      </c>
      <c r="W14" s="20"/>
      <c r="X14" s="20">
        <v>62559877.350000001</v>
      </c>
      <c r="Y14" s="169"/>
      <c r="Z14" s="20">
        <f>SUM(V14:X14)</f>
        <v>2935688994.0500002</v>
      </c>
      <c r="AB14" s="169"/>
      <c r="AC14" s="169"/>
    </row>
    <row r="15" spans="1:29" ht="6.75" customHeight="1" x14ac:dyDescent="0.4">
      <c r="B15" s="166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169"/>
      <c r="Z15" s="20"/>
    </row>
    <row r="16" spans="1:29" x14ac:dyDescent="0.4">
      <c r="A16" s="167" t="s">
        <v>273</v>
      </c>
      <c r="B16" s="166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169"/>
      <c r="Z16" s="20"/>
    </row>
    <row r="17" spans="1:30" x14ac:dyDescent="0.4">
      <c r="A17" s="167" t="s">
        <v>376</v>
      </c>
      <c r="D17" s="20">
        <v>0</v>
      </c>
      <c r="E17" s="20"/>
      <c r="F17" s="20">
        <v>0</v>
      </c>
      <c r="G17" s="20"/>
      <c r="H17" s="20">
        <v>0</v>
      </c>
      <c r="I17" s="20"/>
      <c r="J17" s="20">
        <v>0</v>
      </c>
      <c r="K17" s="20"/>
      <c r="L17" s="13">
        <v>0</v>
      </c>
      <c r="M17" s="13"/>
      <c r="N17" s="13">
        <v>683870061.47000003</v>
      </c>
      <c r="O17" s="20"/>
      <c r="P17" s="20">
        <v>27139914.07</v>
      </c>
      <c r="Q17" s="20"/>
      <c r="R17" s="13">
        <v>0</v>
      </c>
      <c r="S17" s="13"/>
      <c r="T17" s="13">
        <f>SUM(P17:S17)</f>
        <v>27139914.07</v>
      </c>
      <c r="U17" s="20"/>
      <c r="V17" s="20">
        <f t="shared" ref="V17" si="0">SUM(D17:O17)+T17</f>
        <v>711009975.54000008</v>
      </c>
      <c r="W17" s="20"/>
      <c r="X17" s="20">
        <v>-149910.74</v>
      </c>
      <c r="Y17" s="169"/>
      <c r="Z17" s="20">
        <f>SUM(V17:X17)</f>
        <v>710860064.80000007</v>
      </c>
      <c r="AB17" s="169"/>
    </row>
    <row r="18" spans="1:30" hidden="1" x14ac:dyDescent="0.4">
      <c r="A18" s="167" t="s">
        <v>293</v>
      </c>
      <c r="D18" s="20"/>
      <c r="E18" s="20"/>
      <c r="F18" s="20"/>
      <c r="G18" s="20"/>
      <c r="H18" s="20"/>
      <c r="I18" s="20"/>
      <c r="J18" s="20"/>
      <c r="K18" s="20"/>
      <c r="L18" s="13"/>
      <c r="M18" s="13"/>
      <c r="N18" s="13"/>
      <c r="O18" s="20"/>
      <c r="P18" s="20"/>
      <c r="Q18" s="20"/>
      <c r="R18" s="13"/>
      <c r="S18" s="13"/>
      <c r="T18" s="13"/>
      <c r="U18" s="20"/>
      <c r="V18" s="20"/>
      <c r="W18" s="20"/>
      <c r="X18" s="20"/>
      <c r="Y18" s="169"/>
      <c r="Z18" s="20"/>
      <c r="AB18" s="169"/>
    </row>
    <row r="19" spans="1:30" hidden="1" x14ac:dyDescent="0.4">
      <c r="A19" s="167" t="s">
        <v>294</v>
      </c>
      <c r="D19" s="20">
        <v>0</v>
      </c>
      <c r="E19" s="20"/>
      <c r="F19" s="20">
        <v>0</v>
      </c>
      <c r="G19" s="20"/>
      <c r="H19" s="20">
        <v>0</v>
      </c>
      <c r="I19" s="20"/>
      <c r="J19" s="20">
        <v>0</v>
      </c>
      <c r="K19" s="20"/>
      <c r="L19" s="13">
        <v>0</v>
      </c>
      <c r="M19" s="13"/>
      <c r="N19" s="13">
        <f>-R19</f>
        <v>0</v>
      </c>
      <c r="O19" s="20"/>
      <c r="P19" s="20">
        <f>+'[3]PL_Q4-67'!F62</f>
        <v>0</v>
      </c>
      <c r="Q19" s="20"/>
      <c r="R19" s="13">
        <f>-R17</f>
        <v>0</v>
      </c>
      <c r="S19" s="13"/>
      <c r="T19" s="13">
        <f>SUM(P19:S19)</f>
        <v>0</v>
      </c>
      <c r="U19" s="20"/>
      <c r="V19" s="20">
        <f>SUM(D19:O19)+T19</f>
        <v>0</v>
      </c>
      <c r="W19" s="20"/>
      <c r="X19" s="20">
        <v>0</v>
      </c>
      <c r="Y19" s="169"/>
      <c r="Z19" s="20">
        <f>SUM(V19:X19)</f>
        <v>0</v>
      </c>
      <c r="AB19" s="169"/>
    </row>
    <row r="20" spans="1:30" ht="9.75" customHeight="1" x14ac:dyDescent="0.4">
      <c r="B20" s="166"/>
      <c r="D20" s="138"/>
      <c r="E20" s="169"/>
      <c r="F20" s="138"/>
      <c r="G20" s="20"/>
      <c r="H20" s="138"/>
      <c r="I20" s="169"/>
      <c r="J20" s="138"/>
      <c r="K20" s="20"/>
      <c r="L20" s="138"/>
      <c r="M20" s="170"/>
      <c r="N20" s="138"/>
      <c r="O20" s="20"/>
      <c r="P20" s="138"/>
      <c r="Q20" s="20"/>
      <c r="R20" s="138"/>
      <c r="S20" s="20"/>
      <c r="T20" s="138"/>
      <c r="U20" s="169"/>
      <c r="V20" s="138"/>
      <c r="W20" s="20"/>
      <c r="X20" s="138"/>
      <c r="Y20" s="169"/>
      <c r="Z20" s="138"/>
    </row>
    <row r="21" spans="1:30" ht="6" customHeight="1" x14ac:dyDescent="0.4"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20"/>
      <c r="W21" s="20"/>
      <c r="X21" s="20"/>
      <c r="Y21" s="169"/>
      <c r="Z21" s="169"/>
    </row>
    <row r="22" spans="1:30" ht="18.75" thickBot="1" x14ac:dyDescent="0.45">
      <c r="A22" s="167" t="s">
        <v>377</v>
      </c>
      <c r="D22" s="147">
        <f>SUM(D14:D21)</f>
        <v>1164401069.76</v>
      </c>
      <c r="E22" s="13"/>
      <c r="F22" s="147">
        <f>SUM(F14:F21)</f>
        <v>0</v>
      </c>
      <c r="G22" s="20"/>
      <c r="H22" s="147">
        <f>SUM(H14:H21)</f>
        <v>688264273.16999996</v>
      </c>
      <c r="I22" s="13"/>
      <c r="J22" s="147">
        <f>SUM(J14:J21)</f>
        <v>0</v>
      </c>
      <c r="K22" s="20"/>
      <c r="L22" s="147">
        <f>SUM(L14:L21)</f>
        <v>107803033.52</v>
      </c>
      <c r="M22" s="13"/>
      <c r="N22" s="147">
        <f>SUM(N14:N21)</f>
        <v>1588773783.1100001</v>
      </c>
      <c r="O22" s="20"/>
      <c r="P22" s="147">
        <f>SUM(P14:P21)</f>
        <v>34896932.68</v>
      </c>
      <c r="Q22" s="20"/>
      <c r="R22" s="147">
        <f>SUM(R14:R21)</f>
        <v>0</v>
      </c>
      <c r="S22" s="20"/>
      <c r="T22" s="147">
        <f>SUM(T14:T21)</f>
        <v>34896932.68</v>
      </c>
      <c r="U22" s="13"/>
      <c r="V22" s="147">
        <f>SUM(V14:V21)</f>
        <v>3584139092.2400002</v>
      </c>
      <c r="W22" s="20"/>
      <c r="X22" s="147">
        <f>SUM(X14:X21)</f>
        <v>62409966.609999999</v>
      </c>
      <c r="Y22" s="169"/>
      <c r="Z22" s="147">
        <f>SUM(Z14:Z21)</f>
        <v>3646549058.8500004</v>
      </c>
      <c r="AB22" s="169"/>
      <c r="AC22" s="169"/>
    </row>
    <row r="23" spans="1:30" ht="12" customHeight="1" thickTop="1" x14ac:dyDescent="0.4">
      <c r="D23" s="169"/>
      <c r="E23" s="169"/>
      <c r="F23" s="169"/>
      <c r="G23" s="169"/>
      <c r="H23" s="169"/>
      <c r="I23" s="169"/>
      <c r="J23" s="169"/>
      <c r="K23" s="169"/>
      <c r="L23" s="169"/>
      <c r="M23" s="169"/>
      <c r="N23" s="169"/>
      <c r="O23" s="169"/>
      <c r="P23" s="169"/>
      <c r="Q23" s="169"/>
      <c r="R23" s="169"/>
      <c r="S23" s="169"/>
      <c r="T23" s="169"/>
      <c r="U23" s="169"/>
      <c r="V23" s="169"/>
      <c r="W23" s="169"/>
      <c r="X23" s="169"/>
      <c r="Y23" s="169"/>
      <c r="Z23" s="169"/>
    </row>
    <row r="24" spans="1:30" x14ac:dyDescent="0.4">
      <c r="A24" s="167" t="s">
        <v>358</v>
      </c>
      <c r="D24" s="20">
        <v>1350102558.8800001</v>
      </c>
      <c r="E24" s="20"/>
      <c r="F24" s="20">
        <v>0</v>
      </c>
      <c r="G24" s="20"/>
      <c r="H24" s="20">
        <v>1344904738.7199998</v>
      </c>
      <c r="I24" s="20"/>
      <c r="J24" s="20">
        <v>0</v>
      </c>
      <c r="K24" s="20"/>
      <c r="L24" s="20">
        <v>111952161.69</v>
      </c>
      <c r="M24" s="20"/>
      <c r="N24" s="20">
        <v>822100957.76000035</v>
      </c>
      <c r="O24" s="20"/>
      <c r="P24" s="20">
        <v>6366700.7300000014</v>
      </c>
      <c r="Q24" s="20"/>
      <c r="R24" s="20">
        <v>0</v>
      </c>
      <c r="S24" s="20"/>
      <c r="T24" s="20">
        <f>SUM(P24:S24)</f>
        <v>6366700.7300000014</v>
      </c>
      <c r="U24" s="20"/>
      <c r="V24" s="20">
        <f>SUM(D24:O24)+T24</f>
        <v>3635427117.7800002</v>
      </c>
      <c r="W24" s="20"/>
      <c r="X24" s="20">
        <v>62140406.899999999</v>
      </c>
      <c r="Y24" s="169"/>
      <c r="Z24" s="20">
        <f>SUM(V24:X24)</f>
        <v>3697567524.6800003</v>
      </c>
      <c r="AB24" s="169">
        <f>Z24-'BS_Q1-68'!H128</f>
        <v>0</v>
      </c>
    </row>
    <row r="25" spans="1:30" ht="9" customHeight="1" x14ac:dyDescent="0.4">
      <c r="B25" s="166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169"/>
      <c r="Z25" s="20"/>
    </row>
    <row r="26" spans="1:30" x14ac:dyDescent="0.4">
      <c r="A26" s="167" t="s">
        <v>273</v>
      </c>
      <c r="B26" s="166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169"/>
      <c r="Z26" s="20"/>
    </row>
    <row r="27" spans="1:30" x14ac:dyDescent="0.4">
      <c r="A27" s="167" t="s">
        <v>376</v>
      </c>
      <c r="D27" s="20">
        <v>0</v>
      </c>
      <c r="E27" s="20"/>
      <c r="F27" s="20">
        <v>0</v>
      </c>
      <c r="G27" s="20"/>
      <c r="H27" s="20">
        <v>0</v>
      </c>
      <c r="I27" s="20"/>
      <c r="J27" s="20">
        <v>0</v>
      </c>
      <c r="K27" s="20"/>
      <c r="L27" s="13">
        <v>0</v>
      </c>
      <c r="M27" s="13"/>
      <c r="N27" s="13">
        <f>'PL_Q1-68'!F44</f>
        <v>-331844007.80000007</v>
      </c>
      <c r="O27" s="20"/>
      <c r="P27" s="20">
        <f>'PL_Q1-68'!F77</f>
        <v>-445901.9</v>
      </c>
      <c r="Q27" s="20"/>
      <c r="R27" s="13">
        <v>-2765954.4</v>
      </c>
      <c r="S27" s="13"/>
      <c r="T27" s="13">
        <f>SUM(P27:S27)</f>
        <v>-3211856.3</v>
      </c>
      <c r="U27" s="20"/>
      <c r="V27" s="20">
        <f>SUM(D27:O27)+T27</f>
        <v>-335055864.10000008</v>
      </c>
      <c r="W27" s="20"/>
      <c r="X27" s="20">
        <f>'PL_Q1-68'!F45</f>
        <v>-139909.57999999999</v>
      </c>
      <c r="Y27" s="169"/>
      <c r="Z27" s="20">
        <f>SUM(V27:X27)</f>
        <v>-335195773.68000007</v>
      </c>
    </row>
    <row r="28" spans="1:30" x14ac:dyDescent="0.4">
      <c r="A28" s="167" t="s">
        <v>293</v>
      </c>
      <c r="D28" s="20"/>
      <c r="E28" s="20"/>
      <c r="F28" s="20"/>
      <c r="G28" s="20"/>
      <c r="H28" s="20"/>
      <c r="I28" s="20"/>
      <c r="J28" s="20"/>
      <c r="K28" s="20"/>
      <c r="L28" s="13"/>
      <c r="M28" s="13"/>
      <c r="N28" s="13"/>
      <c r="O28" s="20"/>
      <c r="P28" s="20"/>
      <c r="Q28" s="20"/>
      <c r="R28" s="13"/>
      <c r="S28" s="13"/>
      <c r="T28" s="13"/>
      <c r="U28" s="20"/>
      <c r="V28" s="20"/>
      <c r="W28" s="20"/>
      <c r="X28" s="20"/>
      <c r="Y28" s="169"/>
      <c r="Z28" s="20"/>
    </row>
    <row r="29" spans="1:30" x14ac:dyDescent="0.4">
      <c r="A29" s="167" t="s">
        <v>294</v>
      </c>
      <c r="D29" s="20">
        <v>0</v>
      </c>
      <c r="E29" s="20"/>
      <c r="F29" s="20">
        <v>0</v>
      </c>
      <c r="G29" s="20"/>
      <c r="H29" s="20">
        <v>0</v>
      </c>
      <c r="I29" s="20"/>
      <c r="J29" s="20">
        <v>0</v>
      </c>
      <c r="K29" s="20"/>
      <c r="L29" s="13">
        <v>0</v>
      </c>
      <c r="M29" s="13"/>
      <c r="N29" s="13">
        <f>-R29</f>
        <v>-2765954.4</v>
      </c>
      <c r="O29" s="20"/>
      <c r="P29" s="20">
        <v>0</v>
      </c>
      <c r="Q29" s="20"/>
      <c r="R29" s="13">
        <f>-R27</f>
        <v>2765954.4</v>
      </c>
      <c r="S29" s="13"/>
      <c r="T29" s="13">
        <f>SUM(P29:S29)</f>
        <v>2765954.4</v>
      </c>
      <c r="U29" s="20"/>
      <c r="V29" s="20">
        <f>SUM(D29:O29)+T29</f>
        <v>0</v>
      </c>
      <c r="W29" s="20"/>
      <c r="X29" s="20">
        <v>0</v>
      </c>
      <c r="Y29" s="169"/>
      <c r="Z29" s="20">
        <f>SUM(V29:X29)</f>
        <v>0</v>
      </c>
    </row>
    <row r="30" spans="1:30" ht="9.75" customHeight="1" x14ac:dyDescent="0.4">
      <c r="B30" s="166"/>
      <c r="D30" s="138"/>
      <c r="E30" s="169"/>
      <c r="F30" s="138"/>
      <c r="G30" s="20"/>
      <c r="H30" s="138"/>
      <c r="I30" s="169"/>
      <c r="J30" s="138"/>
      <c r="K30" s="20"/>
      <c r="L30" s="138"/>
      <c r="M30" s="170"/>
      <c r="N30" s="138"/>
      <c r="O30" s="20"/>
      <c r="P30" s="138"/>
      <c r="Q30" s="20"/>
      <c r="R30" s="138"/>
      <c r="S30" s="20"/>
      <c r="T30" s="138"/>
      <c r="U30" s="169"/>
      <c r="V30" s="138"/>
      <c r="W30" s="20"/>
      <c r="X30" s="138"/>
      <c r="Y30" s="169"/>
      <c r="Z30" s="138"/>
    </row>
    <row r="31" spans="1:30" ht="6" customHeight="1" x14ac:dyDescent="0.4"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20"/>
      <c r="W31" s="20"/>
      <c r="X31" s="20"/>
      <c r="Y31" s="169"/>
      <c r="Z31" s="169"/>
    </row>
    <row r="32" spans="1:30" ht="18.75" thickBot="1" x14ac:dyDescent="0.45">
      <c r="A32" s="167" t="s">
        <v>359</v>
      </c>
      <c r="D32" s="147">
        <f>SUM(D24:D31)</f>
        <v>1350102558.8800001</v>
      </c>
      <c r="E32" s="13"/>
      <c r="F32" s="147">
        <f>SUM(F24:F31)</f>
        <v>0</v>
      </c>
      <c r="G32" s="20"/>
      <c r="H32" s="147">
        <f>SUM(H24:H31)</f>
        <v>1344904738.7199998</v>
      </c>
      <c r="I32" s="13"/>
      <c r="J32" s="147">
        <f>SUM(J24:J31)</f>
        <v>0</v>
      </c>
      <c r="K32" s="20"/>
      <c r="L32" s="147">
        <f>SUM(L24:L31)</f>
        <v>111952161.69</v>
      </c>
      <c r="M32" s="13"/>
      <c r="N32" s="147">
        <f>SUM(N24:N31)</f>
        <v>487490995.5600003</v>
      </c>
      <c r="O32" s="20"/>
      <c r="P32" s="147">
        <f>SUM(P24:P31)</f>
        <v>5920798.830000001</v>
      </c>
      <c r="Q32" s="20"/>
      <c r="R32" s="147">
        <f>SUM(R24:R31)</f>
        <v>0</v>
      </c>
      <c r="S32" s="20"/>
      <c r="T32" s="147">
        <f>SUM(T24:T31)</f>
        <v>5920798.8300000019</v>
      </c>
      <c r="U32" s="13"/>
      <c r="V32" s="147">
        <f>SUM(V24:V31)</f>
        <v>3300371253.6800003</v>
      </c>
      <c r="W32" s="20"/>
      <c r="X32" s="147">
        <f>SUM(X24:X31)</f>
        <v>62000497.32</v>
      </c>
      <c r="Y32" s="169"/>
      <c r="Z32" s="147">
        <f>SUM(Z24:Z31)</f>
        <v>3362371751</v>
      </c>
      <c r="AB32" s="232">
        <f>Z32-'BS_Q1-68'!F128</f>
        <v>0</v>
      </c>
      <c r="AC32" s="169">
        <f>N32-'BS_Q1-68'!F124</f>
        <v>0</v>
      </c>
      <c r="AD32" s="169">
        <f>L32-'BS_Q1-68'!F123</f>
        <v>0</v>
      </c>
    </row>
    <row r="33" spans="1:28" ht="18.75" thickTop="1" x14ac:dyDescent="0.4">
      <c r="D33" s="169"/>
      <c r="E33" s="169"/>
      <c r="F33" s="169"/>
      <c r="G33" s="169"/>
      <c r="H33" s="169"/>
      <c r="I33" s="169"/>
      <c r="J33" s="169"/>
      <c r="K33" s="169"/>
      <c r="L33" s="169"/>
      <c r="M33" s="169"/>
      <c r="N33" s="169"/>
      <c r="O33" s="169"/>
      <c r="P33" s="169"/>
      <c r="Q33" s="169"/>
      <c r="R33" s="169"/>
      <c r="S33" s="169"/>
      <c r="T33" s="169"/>
      <c r="U33" s="169"/>
      <c r="V33" s="169"/>
      <c r="W33" s="169"/>
      <c r="X33" s="169"/>
      <c r="Y33" s="169"/>
      <c r="Z33" s="169"/>
      <c r="AB33" s="169"/>
    </row>
    <row r="34" spans="1:28" x14ac:dyDescent="0.4">
      <c r="A34" s="167" t="s">
        <v>373</v>
      </c>
    </row>
    <row r="38" spans="1:28" s="164" customFormat="1" x14ac:dyDescent="0.4">
      <c r="A38" s="171" t="s">
        <v>145</v>
      </c>
      <c r="C38" s="166"/>
      <c r="D38" s="171"/>
      <c r="E38" s="166"/>
      <c r="F38" s="166"/>
      <c r="G38" s="166"/>
      <c r="H38" s="166"/>
      <c r="I38" s="166"/>
      <c r="K38" s="171"/>
      <c r="L38" s="171"/>
      <c r="M38" s="171"/>
      <c r="N38" s="171"/>
      <c r="O38" s="171"/>
      <c r="P38" s="171"/>
      <c r="Q38" s="171"/>
      <c r="R38" s="171"/>
      <c r="S38" s="171"/>
      <c r="T38" s="171" t="s">
        <v>145</v>
      </c>
      <c r="U38" s="166"/>
      <c r="V38" s="166"/>
      <c r="W38" s="166"/>
      <c r="X38" s="166"/>
      <c r="Y38" s="166"/>
      <c r="AB38" s="6"/>
    </row>
    <row r="39" spans="1:28" s="164" customFormat="1" ht="9" customHeight="1" x14ac:dyDescent="0.4">
      <c r="A39" s="288"/>
      <c r="B39" s="288"/>
      <c r="C39" s="288"/>
      <c r="D39" s="288"/>
      <c r="E39" s="288"/>
      <c r="F39" s="288"/>
      <c r="G39" s="288"/>
      <c r="H39" s="288"/>
      <c r="I39" s="288"/>
      <c r="J39" s="288"/>
      <c r="K39" s="288"/>
      <c r="L39" s="288"/>
      <c r="M39" s="288"/>
      <c r="N39" s="288"/>
      <c r="O39" s="288"/>
      <c r="P39" s="288"/>
      <c r="Q39" s="288"/>
      <c r="R39" s="288"/>
      <c r="S39" s="288"/>
      <c r="T39" s="288"/>
      <c r="U39" s="288"/>
      <c r="V39" s="288"/>
      <c r="W39" s="288"/>
      <c r="X39" s="288"/>
      <c r="Y39" s="288"/>
      <c r="Z39" s="288"/>
      <c r="AB39" s="6"/>
    </row>
    <row r="40" spans="1:28" x14ac:dyDescent="0.4">
      <c r="A40" s="172"/>
    </row>
  </sheetData>
  <mergeCells count="9">
    <mergeCell ref="A39:Z39"/>
    <mergeCell ref="L8:N8"/>
    <mergeCell ref="P8:T8"/>
    <mergeCell ref="X1:Z1"/>
    <mergeCell ref="A2:Z2"/>
    <mergeCell ref="A3:Z3"/>
    <mergeCell ref="A4:Z4"/>
    <mergeCell ref="A5:Z5"/>
    <mergeCell ref="D7:Z7"/>
  </mergeCells>
  <pageMargins left="0.43307086614173229" right="0.23622047244094491" top="0.74803149606299213" bottom="0.74803149606299213" header="0.31496062992125984" footer="0.31496062992125984"/>
  <pageSetup paperSize="9" scale="86" fitToHeight="0" orientation="landscape" r:id="rId1"/>
  <headerFooter alignWithMargins="0">
    <oddFooter>&amp;C4</oddFooter>
  </headerFooter>
  <colBreaks count="1" manualBreakCount="1">
    <brk id="26" max="4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380EC-FB2B-479E-8CD5-C940EDD7DA49}">
  <sheetPr>
    <pageSetUpPr fitToPage="1"/>
  </sheetPr>
  <dimension ref="A1:AB38"/>
  <sheetViews>
    <sheetView view="pageBreakPreview" zoomScaleNormal="100" zoomScaleSheetLayoutView="100" workbookViewId="0">
      <selection activeCell="H50" sqref="H50"/>
    </sheetView>
  </sheetViews>
  <sheetFormatPr defaultColWidth="9.140625" defaultRowHeight="21" x14ac:dyDescent="0.45"/>
  <cols>
    <col min="1" max="1" width="41.140625" style="185" customWidth="1"/>
    <col min="2" max="2" width="4.85546875" style="185" customWidth="1"/>
    <col min="3" max="3" width="1.42578125" style="185" customWidth="1"/>
    <col min="4" max="4" width="15" style="185" customWidth="1"/>
    <col min="5" max="5" width="1.42578125" style="185" customWidth="1"/>
    <col min="6" max="6" width="14.42578125" style="185" hidden="1" customWidth="1"/>
    <col min="7" max="7" width="1.5703125" style="185" hidden="1" customWidth="1"/>
    <col min="8" max="8" width="15.42578125" style="185" customWidth="1"/>
    <col min="9" max="9" width="1.140625" style="185" hidden="1" customWidth="1"/>
    <col min="10" max="10" width="14.140625" style="185" hidden="1" customWidth="1"/>
    <col min="11" max="11" width="1.42578125" style="185" hidden="1" customWidth="1"/>
    <col min="12" max="12" width="12.140625" style="185" hidden="1" customWidth="1"/>
    <col min="13" max="13" width="1.42578125" style="185" hidden="1" customWidth="1"/>
    <col min="14" max="14" width="11.85546875" style="185" hidden="1" customWidth="1"/>
    <col min="15" max="15" width="1.42578125" style="185" hidden="1" customWidth="1"/>
    <col min="16" max="16" width="11.85546875" style="185" hidden="1" customWidth="1"/>
    <col min="17" max="17" width="1.42578125" style="185" customWidth="1"/>
    <col min="18" max="18" width="14.140625" style="185" customWidth="1"/>
    <col min="19" max="19" width="1.42578125" style="185" customWidth="1"/>
    <col min="20" max="20" width="15" style="185" bestFit="1" customWidth="1"/>
    <col min="21" max="21" width="1.140625" style="185" customWidth="1"/>
    <col min="22" max="22" width="21.85546875" style="185" customWidth="1"/>
    <col min="23" max="23" width="1.42578125" style="185" customWidth="1"/>
    <col min="24" max="24" width="15.140625" style="185" customWidth="1"/>
    <col min="25" max="25" width="19" style="185" customWidth="1"/>
    <col min="26" max="26" width="10.5703125" style="185" bestFit="1" customWidth="1"/>
    <col min="27" max="16384" width="9.140625" style="185"/>
  </cols>
  <sheetData>
    <row r="1" spans="1:26" ht="21.75" customHeight="1" x14ac:dyDescent="0.45">
      <c r="A1" s="184"/>
      <c r="V1" s="293" t="s">
        <v>315</v>
      </c>
      <c r="W1" s="293"/>
      <c r="X1" s="293"/>
    </row>
    <row r="2" spans="1:26" ht="6.75" customHeight="1" x14ac:dyDescent="0.45">
      <c r="X2" s="186"/>
    </row>
    <row r="3" spans="1:26" x14ac:dyDescent="0.45">
      <c r="A3" s="298" t="str">
        <f>'Changed-Conso'!A2</f>
        <v>THE BROOKER GROUP PUBLIC COMPANY LIMITED AND ITS SUBSIDIARIES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126"/>
    </row>
    <row r="4" spans="1:26" x14ac:dyDescent="0.45">
      <c r="A4" s="299" t="str">
        <f>'Changed-Conso'!A3</f>
        <v>STATEMENTS OF CHANGES IN SHAREHOLDERS' EQUITY</v>
      </c>
      <c r="B4" s="299"/>
      <c r="C4" s="299"/>
      <c r="D4" s="299"/>
      <c r="E4" s="299"/>
      <c r="F4" s="299"/>
      <c r="G4" s="299"/>
      <c r="H4" s="299"/>
      <c r="I4" s="299"/>
      <c r="J4" s="299"/>
      <c r="K4" s="299"/>
      <c r="L4" s="299"/>
      <c r="M4" s="299"/>
      <c r="N4" s="299"/>
      <c r="O4" s="299"/>
      <c r="P4" s="299"/>
      <c r="Q4" s="299"/>
      <c r="R4" s="299"/>
      <c r="S4" s="299"/>
      <c r="T4" s="299"/>
      <c r="U4" s="299"/>
      <c r="V4" s="299"/>
      <c r="W4" s="299"/>
      <c r="X4" s="299"/>
    </row>
    <row r="5" spans="1:26" x14ac:dyDescent="0.45">
      <c r="A5" s="299" t="s">
        <v>207</v>
      </c>
      <c r="B5" s="299"/>
      <c r="C5" s="299"/>
      <c r="D5" s="299"/>
      <c r="E5" s="299"/>
      <c r="F5" s="299"/>
      <c r="G5" s="299"/>
      <c r="H5" s="299"/>
      <c r="I5" s="299"/>
      <c r="J5" s="299"/>
      <c r="K5" s="299"/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</row>
    <row r="6" spans="1:26" x14ac:dyDescent="0.45">
      <c r="A6" s="299" t="s">
        <v>357</v>
      </c>
      <c r="B6" s="299"/>
      <c r="C6" s="299"/>
      <c r="D6" s="299"/>
      <c r="E6" s="299"/>
      <c r="F6" s="299"/>
      <c r="G6" s="299"/>
      <c r="H6" s="299"/>
      <c r="I6" s="299"/>
      <c r="J6" s="299"/>
      <c r="K6" s="299"/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</row>
    <row r="7" spans="1:26" x14ac:dyDescent="0.45">
      <c r="D7" s="300" t="s">
        <v>214</v>
      </c>
      <c r="E7" s="300"/>
      <c r="F7" s="300"/>
      <c r="G7" s="300"/>
      <c r="H7" s="300"/>
      <c r="I7" s="300"/>
      <c r="J7" s="300"/>
      <c r="K7" s="300"/>
      <c r="L7" s="300"/>
      <c r="M7" s="300"/>
      <c r="N7" s="300"/>
      <c r="O7" s="300"/>
      <c r="P7" s="300"/>
      <c r="Q7" s="300"/>
      <c r="R7" s="300"/>
      <c r="S7" s="300"/>
      <c r="T7" s="300"/>
      <c r="U7" s="300"/>
      <c r="V7" s="300"/>
      <c r="W7" s="300"/>
      <c r="X7" s="300"/>
    </row>
    <row r="8" spans="1:26" x14ac:dyDescent="0.45">
      <c r="B8" s="187"/>
      <c r="C8" s="187"/>
      <c r="D8" s="125"/>
      <c r="E8" s="125"/>
      <c r="F8" s="188"/>
      <c r="G8" s="188"/>
      <c r="H8" s="188"/>
      <c r="I8" s="125"/>
      <c r="J8" s="187" t="s">
        <v>281</v>
      </c>
      <c r="K8" s="125"/>
      <c r="L8" s="127" t="s">
        <v>193</v>
      </c>
      <c r="M8" s="128"/>
      <c r="N8" s="128"/>
      <c r="O8" s="128"/>
      <c r="P8" s="128"/>
      <c r="Q8" s="128"/>
      <c r="R8" s="297" t="s">
        <v>217</v>
      </c>
      <c r="S8" s="297"/>
      <c r="T8" s="297"/>
      <c r="U8" s="78"/>
      <c r="V8" s="78" t="s">
        <v>270</v>
      </c>
      <c r="W8" s="78"/>
    </row>
    <row r="9" spans="1:26" x14ac:dyDescent="0.45">
      <c r="D9" s="187" t="s">
        <v>202</v>
      </c>
      <c r="E9" s="128"/>
      <c r="F9" s="188"/>
      <c r="G9" s="188"/>
      <c r="H9" s="187" t="s">
        <v>279</v>
      </c>
      <c r="I9" s="128"/>
      <c r="J9" s="187" t="s">
        <v>282</v>
      </c>
      <c r="K9" s="128"/>
      <c r="L9" s="127" t="s">
        <v>192</v>
      </c>
      <c r="M9" s="127"/>
      <c r="N9" s="127" t="s">
        <v>195</v>
      </c>
      <c r="O9" s="127"/>
      <c r="P9" s="127" t="s">
        <v>169</v>
      </c>
      <c r="Q9" s="128"/>
      <c r="V9" s="155" t="s">
        <v>229</v>
      </c>
      <c r="W9" s="78"/>
    </row>
    <row r="10" spans="1:26" x14ac:dyDescent="0.45">
      <c r="D10" s="187" t="s">
        <v>166</v>
      </c>
      <c r="E10" s="129"/>
      <c r="F10" s="188"/>
      <c r="G10" s="188"/>
      <c r="H10" s="187" t="s">
        <v>280</v>
      </c>
      <c r="I10" s="129"/>
      <c r="J10" s="188" t="s">
        <v>283</v>
      </c>
      <c r="K10" s="127"/>
      <c r="L10" s="127" t="s">
        <v>176</v>
      </c>
      <c r="M10" s="127"/>
      <c r="N10" s="189" t="s">
        <v>196</v>
      </c>
      <c r="O10" s="127"/>
      <c r="P10" s="127" t="s">
        <v>170</v>
      </c>
      <c r="Q10" s="128"/>
      <c r="R10" s="187" t="s">
        <v>173</v>
      </c>
      <c r="S10" s="130"/>
      <c r="T10" s="76"/>
      <c r="U10" s="76"/>
      <c r="V10" s="132" t="s">
        <v>271</v>
      </c>
      <c r="W10" s="76"/>
    </row>
    <row r="11" spans="1:26" x14ac:dyDescent="0.45">
      <c r="B11" s="190" t="s">
        <v>218</v>
      </c>
      <c r="D11" s="191" t="s">
        <v>167</v>
      </c>
      <c r="E11" s="131"/>
      <c r="F11" s="192" t="s">
        <v>244</v>
      </c>
      <c r="G11" s="189"/>
      <c r="H11" s="191" t="s">
        <v>168</v>
      </c>
      <c r="I11" s="131"/>
      <c r="J11" s="191" t="s">
        <v>284</v>
      </c>
      <c r="K11" s="132"/>
      <c r="L11" s="155" t="s">
        <v>177</v>
      </c>
      <c r="M11" s="132"/>
      <c r="N11" s="155" t="s">
        <v>197</v>
      </c>
      <c r="O11" s="132"/>
      <c r="P11" s="155" t="s">
        <v>171</v>
      </c>
      <c r="Q11" s="128"/>
      <c r="R11" s="191" t="s">
        <v>174</v>
      </c>
      <c r="S11" s="130"/>
      <c r="T11" s="191" t="s">
        <v>155</v>
      </c>
      <c r="U11" s="187"/>
      <c r="V11" s="155" t="s">
        <v>272</v>
      </c>
      <c r="W11" s="78"/>
      <c r="X11" s="191" t="s">
        <v>175</v>
      </c>
    </row>
    <row r="12" spans="1:26" x14ac:dyDescent="0.45">
      <c r="C12" s="132"/>
      <c r="F12" s="193"/>
      <c r="G12" s="194"/>
      <c r="R12" s="78"/>
      <c r="S12" s="132"/>
      <c r="T12" s="133"/>
      <c r="U12" s="133"/>
      <c r="V12" s="133"/>
      <c r="W12" s="131"/>
      <c r="X12" s="133"/>
    </row>
    <row r="13" spans="1:26" x14ac:dyDescent="0.45">
      <c r="A13" s="195" t="s">
        <v>324</v>
      </c>
      <c r="B13" s="196"/>
      <c r="D13" s="125">
        <v>1164401069.76</v>
      </c>
      <c r="E13" s="125"/>
      <c r="F13" s="125">
        <v>0</v>
      </c>
      <c r="G13" s="125"/>
      <c r="H13" s="125">
        <v>688264273.16999996</v>
      </c>
      <c r="I13" s="125"/>
      <c r="J13" s="125">
        <v>0</v>
      </c>
      <c r="K13" s="125"/>
      <c r="L13" s="128">
        <v>0</v>
      </c>
      <c r="M13" s="125"/>
      <c r="N13" s="125">
        <v>0</v>
      </c>
      <c r="O13" s="125"/>
      <c r="P13" s="125">
        <v>0</v>
      </c>
      <c r="Q13" s="125"/>
      <c r="R13" s="125">
        <v>107803033.52</v>
      </c>
      <c r="S13" s="125"/>
      <c r="T13" s="125">
        <v>944772321.66999996</v>
      </c>
      <c r="U13" s="125"/>
      <c r="V13" s="125">
        <v>0</v>
      </c>
      <c r="W13" s="125"/>
      <c r="X13" s="125">
        <f>SUM(D13:V13)</f>
        <v>2905240698.1199999</v>
      </c>
      <c r="Y13" s="197"/>
      <c r="Z13" s="128"/>
    </row>
    <row r="14" spans="1:26" ht="9" customHeight="1" x14ac:dyDescent="0.45"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125"/>
      <c r="T14" s="125"/>
      <c r="U14" s="125"/>
      <c r="V14" s="20"/>
      <c r="W14" s="125"/>
      <c r="X14" s="125"/>
      <c r="Z14" s="128"/>
    </row>
    <row r="15" spans="1:26" x14ac:dyDescent="0.45">
      <c r="A15" s="185" t="s">
        <v>274</v>
      </c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125"/>
      <c r="T15" s="125"/>
      <c r="U15" s="125"/>
      <c r="V15" s="20"/>
      <c r="W15" s="125"/>
      <c r="X15" s="125"/>
      <c r="Z15" s="128"/>
    </row>
    <row r="16" spans="1:26" x14ac:dyDescent="0.45">
      <c r="A16" s="136" t="s">
        <v>376</v>
      </c>
      <c r="B16" s="128"/>
      <c r="C16" s="128"/>
      <c r="D16" s="125">
        <v>0</v>
      </c>
      <c r="E16" s="125"/>
      <c r="F16" s="125">
        <v>0</v>
      </c>
      <c r="G16" s="125"/>
      <c r="H16" s="125">
        <v>0</v>
      </c>
      <c r="I16" s="125"/>
      <c r="J16" s="125">
        <v>0</v>
      </c>
      <c r="K16" s="125"/>
      <c r="L16" s="125">
        <v>0</v>
      </c>
      <c r="M16" s="125"/>
      <c r="N16" s="125">
        <v>0</v>
      </c>
      <c r="O16" s="125"/>
      <c r="P16" s="125">
        <v>0</v>
      </c>
      <c r="Q16" s="125"/>
      <c r="R16" s="125">
        <v>0</v>
      </c>
      <c r="S16" s="125"/>
      <c r="T16" s="125">
        <v>95942861.769999996</v>
      </c>
      <c r="U16" s="125"/>
      <c r="V16" s="125">
        <f>-V18</f>
        <v>0</v>
      </c>
      <c r="W16" s="125"/>
      <c r="X16" s="125">
        <f>SUM(D16:V16)</f>
        <v>95942861.769999996</v>
      </c>
      <c r="Y16" s="197"/>
    </row>
    <row r="17" spans="1:26" hidden="1" x14ac:dyDescent="0.45">
      <c r="A17" s="185" t="s">
        <v>293</v>
      </c>
      <c r="B17" s="128"/>
      <c r="C17" s="128"/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125"/>
      <c r="O17" s="125"/>
      <c r="P17" s="125"/>
      <c r="Q17" s="125"/>
      <c r="R17" s="125"/>
      <c r="S17" s="125"/>
      <c r="T17" s="125"/>
      <c r="U17" s="125"/>
      <c r="V17" s="125"/>
      <c r="W17" s="125"/>
      <c r="X17" s="125"/>
      <c r="Y17" s="197"/>
    </row>
    <row r="18" spans="1:26" hidden="1" x14ac:dyDescent="0.45">
      <c r="A18" s="185" t="s">
        <v>294</v>
      </c>
      <c r="B18" s="128"/>
      <c r="C18" s="128"/>
      <c r="D18" s="125">
        <v>0</v>
      </c>
      <c r="E18" s="125"/>
      <c r="F18" s="125">
        <v>0</v>
      </c>
      <c r="G18" s="125"/>
      <c r="H18" s="125">
        <v>0</v>
      </c>
      <c r="I18" s="125"/>
      <c r="J18" s="125">
        <v>0</v>
      </c>
      <c r="K18" s="125"/>
      <c r="L18" s="125">
        <v>0</v>
      </c>
      <c r="M18" s="125"/>
      <c r="N18" s="125">
        <v>0</v>
      </c>
      <c r="O18" s="125"/>
      <c r="P18" s="125">
        <v>0</v>
      </c>
      <c r="Q18" s="125"/>
      <c r="R18" s="125">
        <v>0</v>
      </c>
      <c r="S18" s="125"/>
      <c r="T18" s="125">
        <v>0</v>
      </c>
      <c r="U18" s="125"/>
      <c r="V18" s="125">
        <f>-T18</f>
        <v>0</v>
      </c>
      <c r="W18" s="125"/>
      <c r="X18" s="125">
        <f>SUM(D18:V18)</f>
        <v>0</v>
      </c>
      <c r="Y18" s="197"/>
    </row>
    <row r="19" spans="1:26" ht="8.25" customHeight="1" x14ac:dyDescent="0.45">
      <c r="B19" s="196"/>
      <c r="D19" s="143"/>
      <c r="E19" s="128"/>
      <c r="F19" s="143"/>
      <c r="G19" s="125"/>
      <c r="H19" s="143"/>
      <c r="I19" s="128"/>
      <c r="J19" s="143"/>
      <c r="K19" s="125"/>
      <c r="L19" s="143"/>
      <c r="M19" s="125"/>
      <c r="N19" s="143"/>
      <c r="O19" s="125"/>
      <c r="P19" s="143"/>
      <c r="Q19" s="128"/>
      <c r="R19" s="143"/>
      <c r="S19" s="128"/>
      <c r="T19" s="143"/>
      <c r="U19" s="125"/>
      <c r="V19" s="143"/>
      <c r="W19" s="125"/>
      <c r="X19" s="143"/>
    </row>
    <row r="20" spans="1:26" ht="21.75" thickBot="1" x14ac:dyDescent="0.5">
      <c r="A20" s="195" t="s">
        <v>378</v>
      </c>
      <c r="B20" s="196"/>
      <c r="D20" s="144">
        <f>SUM(D13:D19)</f>
        <v>1164401069.76</v>
      </c>
      <c r="E20" s="128"/>
      <c r="F20" s="144">
        <f>SUM(F13:F19)</f>
        <v>0</v>
      </c>
      <c r="G20" s="125"/>
      <c r="H20" s="144">
        <f>SUM(H13:H19)</f>
        <v>688264273.16999996</v>
      </c>
      <c r="I20" s="128"/>
      <c r="J20" s="144">
        <f>SUM(J13:J19)</f>
        <v>0</v>
      </c>
      <c r="K20" s="125"/>
      <c r="L20" s="144">
        <f>SUM(L16:L16)</f>
        <v>0</v>
      </c>
      <c r="M20" s="125"/>
      <c r="N20" s="144">
        <f>SUM(N16:N16)</f>
        <v>0</v>
      </c>
      <c r="O20" s="125"/>
      <c r="P20" s="144">
        <f>SUM(P16:P16)</f>
        <v>0</v>
      </c>
      <c r="Q20" s="128"/>
      <c r="R20" s="144">
        <f>SUM(R13:R19)</f>
        <v>107803033.52</v>
      </c>
      <c r="S20" s="128"/>
      <c r="T20" s="144">
        <f>SUM(T13:T19)</f>
        <v>1040715183.4399999</v>
      </c>
      <c r="U20" s="125"/>
      <c r="V20" s="144">
        <f>SUM(V13:V19)</f>
        <v>0</v>
      </c>
      <c r="W20" s="125"/>
      <c r="X20" s="144">
        <f>SUM(X13:X19)</f>
        <v>3001183559.8899999</v>
      </c>
      <c r="Y20" s="197">
        <f>X20-'BS_Q1-68'!L128</f>
        <v>-390497402.91000032</v>
      </c>
    </row>
    <row r="21" spans="1:26" ht="21.75" thickTop="1" x14ac:dyDescent="0.45">
      <c r="B21" s="196"/>
      <c r="D21" s="197"/>
      <c r="E21" s="197"/>
      <c r="F21" s="128"/>
      <c r="G21" s="197"/>
      <c r="H21" s="197"/>
      <c r="I21" s="197"/>
      <c r="J21" s="197"/>
      <c r="K21" s="197"/>
      <c r="L21" s="197"/>
      <c r="M21" s="197"/>
      <c r="N21" s="197"/>
      <c r="O21" s="197"/>
      <c r="P21" s="197"/>
      <c r="Q21" s="197"/>
      <c r="R21" s="197"/>
      <c r="S21" s="197"/>
      <c r="T21" s="197"/>
      <c r="U21" s="197"/>
      <c r="V21" s="128"/>
      <c r="W21" s="197"/>
      <c r="X21" s="197"/>
    </row>
    <row r="22" spans="1:26" x14ac:dyDescent="0.45">
      <c r="A22" s="195" t="s">
        <v>358</v>
      </c>
      <c r="B22" s="196"/>
      <c r="D22" s="125">
        <v>1350102558.8800001</v>
      </c>
      <c r="E22" s="125"/>
      <c r="F22" s="125">
        <v>0</v>
      </c>
      <c r="G22" s="125"/>
      <c r="H22" s="125">
        <v>1344904738.7199998</v>
      </c>
      <c r="I22" s="125"/>
      <c r="J22" s="125">
        <v>0</v>
      </c>
      <c r="K22" s="125"/>
      <c r="L22" s="128">
        <v>0</v>
      </c>
      <c r="M22" s="125"/>
      <c r="N22" s="125">
        <v>0</v>
      </c>
      <c r="O22" s="125"/>
      <c r="P22" s="125">
        <v>0</v>
      </c>
      <c r="Q22" s="125"/>
      <c r="R22" s="125">
        <v>111952161.69</v>
      </c>
      <c r="S22" s="125"/>
      <c r="T22" s="125">
        <v>584721503.51000011</v>
      </c>
      <c r="U22" s="125"/>
      <c r="V22" s="125">
        <v>0</v>
      </c>
      <c r="W22" s="125"/>
      <c r="X22" s="125">
        <f>SUM(D22:V22)</f>
        <v>3391680962.8000002</v>
      </c>
      <c r="Z22" s="128"/>
    </row>
    <row r="23" spans="1:26" ht="9.75" customHeight="1" x14ac:dyDescent="0.45">
      <c r="B23" s="196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125"/>
      <c r="T23" s="125"/>
      <c r="U23" s="125"/>
      <c r="V23" s="20"/>
      <c r="W23" s="125"/>
      <c r="X23" s="125"/>
    </row>
    <row r="24" spans="1:26" x14ac:dyDescent="0.45">
      <c r="A24" s="185" t="s">
        <v>274</v>
      </c>
      <c r="B24" s="196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125"/>
      <c r="T24" s="125"/>
      <c r="U24" s="125"/>
      <c r="V24" s="20"/>
      <c r="W24" s="125"/>
      <c r="X24" s="125"/>
    </row>
    <row r="25" spans="1:26" s="128" customFormat="1" x14ac:dyDescent="0.45">
      <c r="A25" s="136" t="s">
        <v>376</v>
      </c>
      <c r="D25" s="125">
        <v>0</v>
      </c>
      <c r="E25" s="125"/>
      <c r="F25" s="125">
        <v>0</v>
      </c>
      <c r="G25" s="125"/>
      <c r="H25" s="125">
        <v>0</v>
      </c>
      <c r="I25" s="125"/>
      <c r="J25" s="125">
        <v>0</v>
      </c>
      <c r="K25" s="125"/>
      <c r="L25" s="125">
        <v>0</v>
      </c>
      <c r="M25" s="125"/>
      <c r="N25" s="125">
        <v>0</v>
      </c>
      <c r="O25" s="125"/>
      <c r="P25" s="125">
        <v>0</v>
      </c>
      <c r="Q25" s="125"/>
      <c r="R25" s="125">
        <v>0</v>
      </c>
      <c r="S25" s="125"/>
      <c r="T25" s="125">
        <f>'PL_Q1-68'!J44</f>
        <v>-87603709.439999998</v>
      </c>
      <c r="U25" s="125"/>
      <c r="V25" s="125">
        <v>-2755342.4</v>
      </c>
      <c r="W25" s="125"/>
      <c r="X25" s="125">
        <f>SUM(D25:V25)</f>
        <v>-90359051.840000004</v>
      </c>
      <c r="Y25" s="128">
        <f>T25-'PL_Q1-68'!J41</f>
        <v>0</v>
      </c>
    </row>
    <row r="26" spans="1:26" s="128" customFormat="1" hidden="1" x14ac:dyDescent="0.45">
      <c r="A26" s="185" t="s">
        <v>293</v>
      </c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  <c r="S26" s="125"/>
      <c r="T26" s="125"/>
      <c r="U26" s="125"/>
      <c r="V26" s="125"/>
      <c r="W26" s="125"/>
      <c r="X26" s="125"/>
    </row>
    <row r="27" spans="1:26" s="128" customFormat="1" hidden="1" x14ac:dyDescent="0.45">
      <c r="A27" s="185" t="s">
        <v>294</v>
      </c>
      <c r="D27" s="125">
        <v>0</v>
      </c>
      <c r="E27" s="125"/>
      <c r="F27" s="125">
        <v>0</v>
      </c>
      <c r="G27" s="125"/>
      <c r="H27" s="125">
        <v>0</v>
      </c>
      <c r="I27" s="125"/>
      <c r="J27" s="125">
        <v>0</v>
      </c>
      <c r="K27" s="125"/>
      <c r="L27" s="125">
        <v>0</v>
      </c>
      <c r="M27" s="125"/>
      <c r="N27" s="125">
        <v>0</v>
      </c>
      <c r="O27" s="125"/>
      <c r="P27" s="125">
        <v>0</v>
      </c>
      <c r="Q27" s="125"/>
      <c r="R27" s="125">
        <v>0</v>
      </c>
      <c r="S27" s="125"/>
      <c r="T27" s="125">
        <v>0</v>
      </c>
      <c r="U27" s="125"/>
      <c r="V27" s="125">
        <f>-T27</f>
        <v>0</v>
      </c>
      <c r="W27" s="125"/>
      <c r="X27" s="125">
        <f>SUM(D27:V27)</f>
        <v>0</v>
      </c>
    </row>
    <row r="28" spans="1:26" s="128" customFormat="1" x14ac:dyDescent="0.45">
      <c r="A28" s="185" t="s">
        <v>293</v>
      </c>
      <c r="D28" s="125"/>
      <c r="E28" s="125"/>
      <c r="F28" s="125"/>
      <c r="G28" s="125"/>
      <c r="H28" s="125"/>
      <c r="I28" s="125"/>
      <c r="J28" s="125"/>
      <c r="K28" s="125"/>
      <c r="L28" s="125"/>
      <c r="M28" s="125"/>
      <c r="N28" s="125"/>
      <c r="O28" s="125"/>
      <c r="P28" s="125"/>
      <c r="Q28" s="125"/>
      <c r="R28" s="125"/>
      <c r="S28" s="125"/>
      <c r="T28" s="125"/>
      <c r="U28" s="125"/>
      <c r="V28" s="125"/>
      <c r="W28" s="125"/>
      <c r="X28" s="125"/>
    </row>
    <row r="29" spans="1:26" s="128" customFormat="1" x14ac:dyDescent="0.45">
      <c r="A29" s="185" t="s">
        <v>294</v>
      </c>
      <c r="D29" s="125">
        <v>0</v>
      </c>
      <c r="E29" s="125"/>
      <c r="F29" s="125"/>
      <c r="G29" s="125"/>
      <c r="H29" s="125">
        <v>0</v>
      </c>
      <c r="I29" s="125"/>
      <c r="J29" s="125"/>
      <c r="K29" s="125"/>
      <c r="L29" s="125"/>
      <c r="M29" s="125"/>
      <c r="N29" s="125"/>
      <c r="O29" s="125"/>
      <c r="P29" s="125"/>
      <c r="Q29" s="125"/>
      <c r="R29" s="125">
        <v>0</v>
      </c>
      <c r="S29" s="125"/>
      <c r="T29" s="125">
        <v>-2755342.4</v>
      </c>
      <c r="U29" s="125"/>
      <c r="V29" s="125">
        <f>-V25</f>
        <v>2755342.4</v>
      </c>
      <c r="W29" s="125"/>
      <c r="X29" s="125">
        <f>SUM(D29:V29)</f>
        <v>0</v>
      </c>
    </row>
    <row r="30" spans="1:26" ht="7.5" customHeight="1" x14ac:dyDescent="0.45">
      <c r="D30" s="143"/>
      <c r="E30" s="128"/>
      <c r="F30" s="143"/>
      <c r="G30" s="125"/>
      <c r="H30" s="143"/>
      <c r="I30" s="128"/>
      <c r="J30" s="143"/>
      <c r="K30" s="125"/>
      <c r="L30" s="143"/>
      <c r="M30" s="125"/>
      <c r="N30" s="143"/>
      <c r="O30" s="125"/>
      <c r="P30" s="143"/>
      <c r="Q30" s="128"/>
      <c r="R30" s="143"/>
      <c r="S30" s="128"/>
      <c r="T30" s="143"/>
      <c r="U30" s="125"/>
      <c r="V30" s="143"/>
      <c r="W30" s="125"/>
      <c r="X30" s="143"/>
    </row>
    <row r="31" spans="1:26" ht="21.75" thickBot="1" x14ac:dyDescent="0.5">
      <c r="A31" s="195" t="s">
        <v>360</v>
      </c>
      <c r="D31" s="144">
        <f>SUM(D22:D30)</f>
        <v>1350102558.8800001</v>
      </c>
      <c r="E31" s="128"/>
      <c r="F31" s="144">
        <f>SUM(F22:F30)</f>
        <v>0</v>
      </c>
      <c r="G31" s="125"/>
      <c r="H31" s="144">
        <f>SUM(H22:H30)</f>
        <v>1344904738.7199998</v>
      </c>
      <c r="I31" s="128"/>
      <c r="J31" s="144">
        <f>SUM(J22:J30)</f>
        <v>0</v>
      </c>
      <c r="K31" s="125"/>
      <c r="L31" s="144">
        <f>SUM(L25:L25)</f>
        <v>0</v>
      </c>
      <c r="M31" s="125"/>
      <c r="N31" s="144">
        <f>SUM(N25:N25)</f>
        <v>0</v>
      </c>
      <c r="O31" s="125"/>
      <c r="P31" s="144">
        <f>SUM(P25:P25)</f>
        <v>0</v>
      </c>
      <c r="Q31" s="128"/>
      <c r="R31" s="144">
        <f>SUM(R22:R30)</f>
        <v>111952161.69</v>
      </c>
      <c r="S31" s="128"/>
      <c r="T31" s="144">
        <f>SUM(T22:T30)</f>
        <v>494362451.67000014</v>
      </c>
      <c r="U31" s="125"/>
      <c r="V31" s="144">
        <f>SUM(V22:V30)</f>
        <v>0</v>
      </c>
      <c r="W31" s="125"/>
      <c r="X31" s="144">
        <f>SUM(X22:X30)</f>
        <v>3301321910.96</v>
      </c>
      <c r="Y31" s="195">
        <f>X31-'BS_Q1-68'!J128</f>
        <v>0</v>
      </c>
    </row>
    <row r="32" spans="1:26" ht="9.75" customHeight="1" thickTop="1" x14ac:dyDescent="0.45">
      <c r="D32" s="197"/>
      <c r="E32" s="197"/>
      <c r="F32" s="197"/>
      <c r="G32" s="197"/>
      <c r="H32" s="197"/>
      <c r="I32" s="197"/>
      <c r="J32" s="197"/>
      <c r="K32" s="197"/>
      <c r="L32" s="197"/>
      <c r="M32" s="197"/>
      <c r="N32" s="197"/>
      <c r="O32" s="197"/>
      <c r="P32" s="197"/>
      <c r="Q32" s="197"/>
      <c r="R32" s="197"/>
      <c r="S32" s="197"/>
      <c r="T32" s="197"/>
      <c r="U32" s="197"/>
      <c r="V32" s="197"/>
      <c r="W32" s="197"/>
      <c r="X32" s="197"/>
    </row>
    <row r="33" spans="1:28" x14ac:dyDescent="0.45">
      <c r="D33" s="197"/>
      <c r="E33" s="197"/>
      <c r="F33" s="197"/>
      <c r="G33" s="197"/>
      <c r="H33" s="197"/>
      <c r="I33" s="197"/>
      <c r="J33" s="197"/>
      <c r="K33" s="197"/>
      <c r="L33" s="197"/>
      <c r="M33" s="197"/>
      <c r="N33" s="197"/>
      <c r="O33" s="197"/>
      <c r="P33" s="197"/>
      <c r="Q33" s="197"/>
      <c r="R33" s="197"/>
      <c r="S33" s="197"/>
      <c r="T33" s="197"/>
      <c r="U33" s="197"/>
      <c r="V33" s="197"/>
      <c r="W33" s="197"/>
      <c r="X33" s="197"/>
    </row>
    <row r="34" spans="1:28" x14ac:dyDescent="0.45">
      <c r="A34" s="198" t="s">
        <v>373</v>
      </c>
    </row>
    <row r="35" spans="1:28" x14ac:dyDescent="0.45">
      <c r="A35" s="199"/>
    </row>
    <row r="36" spans="1:28" s="184" customFormat="1" x14ac:dyDescent="0.45">
      <c r="A36" s="200"/>
      <c r="C36" s="189"/>
      <c r="D36" s="200"/>
      <c r="E36" s="189"/>
      <c r="F36" s="189"/>
      <c r="G36" s="189"/>
      <c r="H36" s="189"/>
      <c r="I36" s="189"/>
      <c r="J36" s="200"/>
      <c r="K36" s="200"/>
      <c r="L36" s="200"/>
      <c r="M36" s="200"/>
      <c r="N36" s="200"/>
      <c r="O36" s="200"/>
      <c r="P36" s="200"/>
      <c r="Q36" s="189"/>
      <c r="R36" s="189"/>
      <c r="S36" s="189"/>
      <c r="T36" s="189"/>
      <c r="U36" s="189"/>
      <c r="V36" s="189"/>
      <c r="W36" s="189"/>
      <c r="X36" s="189"/>
      <c r="Y36" s="189"/>
      <c r="AB36" s="134"/>
    </row>
    <row r="37" spans="1:28" s="184" customFormat="1" x14ac:dyDescent="0.45">
      <c r="A37" s="200" t="s">
        <v>145</v>
      </c>
      <c r="C37" s="189"/>
      <c r="D37" s="200"/>
      <c r="E37" s="189"/>
      <c r="F37" s="189"/>
      <c r="G37" s="189"/>
      <c r="H37" s="189"/>
      <c r="I37" s="189"/>
      <c r="K37" s="200"/>
      <c r="L37" s="200"/>
      <c r="M37" s="200"/>
      <c r="N37" s="200"/>
      <c r="O37" s="200"/>
      <c r="P37" s="200"/>
      <c r="Q37" s="189"/>
      <c r="S37" s="189"/>
      <c r="T37" s="200" t="s">
        <v>145</v>
      </c>
      <c r="U37" s="189"/>
      <c r="V37" s="189"/>
      <c r="W37" s="189"/>
      <c r="X37" s="189"/>
      <c r="Y37" s="189"/>
      <c r="AB37" s="134"/>
    </row>
    <row r="38" spans="1:28" ht="8.25" customHeight="1" x14ac:dyDescent="0.45">
      <c r="A38" s="296"/>
      <c r="B38" s="296"/>
      <c r="C38" s="296"/>
      <c r="D38" s="296"/>
      <c r="E38" s="296"/>
      <c r="F38" s="296"/>
      <c r="G38" s="296"/>
      <c r="H38" s="296"/>
      <c r="I38" s="296"/>
      <c r="J38" s="296"/>
      <c r="K38" s="296"/>
      <c r="L38" s="296"/>
      <c r="M38" s="296"/>
      <c r="N38" s="296"/>
      <c r="O38" s="296"/>
      <c r="P38" s="296"/>
      <c r="Q38" s="296"/>
      <c r="R38" s="296"/>
      <c r="S38" s="296"/>
      <c r="T38" s="296"/>
      <c r="U38" s="296"/>
      <c r="V38" s="296"/>
      <c r="W38" s="296"/>
      <c r="X38" s="296"/>
    </row>
  </sheetData>
  <mergeCells count="8">
    <mergeCell ref="A38:X38"/>
    <mergeCell ref="V1:X1"/>
    <mergeCell ref="R8:T8"/>
    <mergeCell ref="A3:X3"/>
    <mergeCell ref="A4:X4"/>
    <mergeCell ref="A5:X5"/>
    <mergeCell ref="A6:X6"/>
    <mergeCell ref="D7:X7"/>
  </mergeCells>
  <printOptions horizontalCentered="1"/>
  <pageMargins left="0.6" right="0.5" top="0.35" bottom="0.4" header="0.30496063000000001" footer="0.16"/>
  <pageSetup paperSize="9" scale="91" orientation="landscape" r:id="rId1"/>
  <headerFooter alignWithMargins="0">
    <oddFooter>&amp;C5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14"/>
  <sheetViews>
    <sheetView view="pageBreakPreview" zoomScale="115" zoomScaleNormal="150" zoomScaleSheetLayoutView="115" workbookViewId="0">
      <selection activeCell="F8" sqref="F8"/>
    </sheetView>
  </sheetViews>
  <sheetFormatPr defaultColWidth="9.140625" defaultRowHeight="18" x14ac:dyDescent="0.4"/>
  <cols>
    <col min="1" max="2" width="2.7109375" style="3" customWidth="1"/>
    <col min="3" max="3" width="39.28515625" style="3" bestFit="1" customWidth="1"/>
    <col min="4" max="4" width="5.42578125" style="269" customWidth="1"/>
    <col min="5" max="5" width="0.85546875" style="269" customWidth="1"/>
    <col min="6" max="6" width="14.42578125" style="269" customWidth="1"/>
    <col min="7" max="7" width="0.85546875" style="269" customWidth="1"/>
    <col min="8" max="8" width="14.42578125" style="269" customWidth="1"/>
    <col min="9" max="9" width="0.85546875" style="3" customWidth="1"/>
    <col min="10" max="10" width="14.28515625" style="5" customWidth="1"/>
    <col min="11" max="11" width="0.85546875" style="3" customWidth="1"/>
    <col min="12" max="12" width="14.42578125" style="5" customWidth="1"/>
    <col min="13" max="13" width="2.7109375" style="3" customWidth="1"/>
    <col min="14" max="14" width="7.42578125" style="3" customWidth="1"/>
    <col min="15" max="15" width="2.7109375" style="3" customWidth="1"/>
    <col min="16" max="17" width="2.85546875" style="8" customWidth="1"/>
    <col min="18" max="18" width="30.5703125" style="8" customWidth="1"/>
    <col min="19" max="19" width="6.140625" style="12" customWidth="1"/>
    <col min="20" max="20" width="0.85546875" style="12" customWidth="1"/>
    <col min="21" max="21" width="13.140625" style="12" customWidth="1"/>
    <col min="22" max="22" width="0.85546875" style="12" customWidth="1"/>
    <col min="23" max="23" width="12.85546875" style="12" bestFit="1" customWidth="1"/>
    <col min="24" max="24" width="0.85546875" style="8" customWidth="1"/>
    <col min="25" max="25" width="15" style="202" customWidth="1"/>
    <col min="26" max="26" width="0.85546875" style="8" customWidth="1"/>
    <col min="27" max="27" width="14" style="202" customWidth="1"/>
    <col min="28" max="16384" width="9.140625" style="3"/>
  </cols>
  <sheetData>
    <row r="1" spans="1:27" ht="20.100000000000001" customHeight="1" x14ac:dyDescent="0.4">
      <c r="B1" s="8"/>
      <c r="C1" s="8"/>
      <c r="D1" s="28"/>
      <c r="E1" s="28"/>
      <c r="F1" s="16"/>
      <c r="G1" s="28"/>
      <c r="H1" s="16"/>
      <c r="I1" s="8"/>
      <c r="J1" s="306" t="s">
        <v>315</v>
      </c>
      <c r="K1" s="306"/>
      <c r="L1" s="306"/>
      <c r="S1" s="215"/>
      <c r="T1" s="215"/>
      <c r="U1" s="202"/>
      <c r="V1" s="215"/>
      <c r="W1" s="202"/>
      <c r="Y1" s="203"/>
      <c r="Z1" s="203"/>
      <c r="AA1" s="203"/>
    </row>
    <row r="2" spans="1:27" x14ac:dyDescent="0.4">
      <c r="A2" s="290" t="s">
        <v>131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P2" s="302"/>
      <c r="Q2" s="301"/>
      <c r="R2" s="301"/>
      <c r="S2" s="301"/>
      <c r="T2" s="301"/>
      <c r="U2" s="301"/>
      <c r="V2" s="301"/>
      <c r="W2" s="301"/>
      <c r="X2" s="301"/>
      <c r="Y2" s="301"/>
      <c r="Z2" s="301"/>
      <c r="AA2" s="301"/>
    </row>
    <row r="3" spans="1:27" ht="18" customHeight="1" x14ac:dyDescent="0.4">
      <c r="A3" s="285" t="s">
        <v>382</v>
      </c>
      <c r="B3" s="285"/>
      <c r="C3" s="285"/>
      <c r="D3" s="285"/>
      <c r="E3" s="285"/>
      <c r="F3" s="285"/>
      <c r="G3" s="285"/>
      <c r="H3" s="285"/>
      <c r="I3" s="285"/>
      <c r="J3" s="285"/>
      <c r="K3" s="285"/>
      <c r="L3" s="285"/>
      <c r="P3" s="303"/>
      <c r="Q3" s="303"/>
      <c r="R3" s="303"/>
      <c r="S3" s="303"/>
      <c r="T3" s="303"/>
      <c r="U3" s="303"/>
      <c r="V3" s="303"/>
      <c r="W3" s="303"/>
      <c r="X3" s="303"/>
      <c r="Y3" s="303"/>
      <c r="Z3" s="303"/>
      <c r="AA3" s="303"/>
    </row>
    <row r="4" spans="1:27" ht="18" customHeight="1" x14ac:dyDescent="0.4">
      <c r="A4" s="285" t="s">
        <v>362</v>
      </c>
      <c r="B4" s="285"/>
      <c r="C4" s="285"/>
      <c r="D4" s="285"/>
      <c r="E4" s="285"/>
      <c r="F4" s="285"/>
      <c r="G4" s="285"/>
      <c r="H4" s="285"/>
      <c r="I4" s="285"/>
      <c r="J4" s="285"/>
      <c r="K4" s="285"/>
      <c r="L4" s="285"/>
      <c r="P4" s="303"/>
      <c r="Q4" s="303"/>
      <c r="R4" s="303"/>
      <c r="S4" s="303"/>
      <c r="T4" s="303"/>
      <c r="U4" s="303"/>
      <c r="V4" s="303"/>
      <c r="W4" s="303"/>
      <c r="X4" s="303"/>
      <c r="Y4" s="303"/>
      <c r="Z4" s="303"/>
      <c r="AA4" s="303"/>
    </row>
    <row r="5" spans="1:27" ht="16.5" customHeight="1" x14ac:dyDescent="0.4">
      <c r="A5" s="8"/>
      <c r="B5" s="8"/>
      <c r="C5" s="24"/>
      <c r="F5" s="304" t="s">
        <v>132</v>
      </c>
      <c r="G5" s="304"/>
      <c r="H5" s="304"/>
      <c r="I5" s="304"/>
      <c r="J5" s="304"/>
      <c r="K5" s="304"/>
      <c r="L5" s="304"/>
      <c r="R5" s="216"/>
      <c r="S5" s="216"/>
      <c r="T5" s="216"/>
      <c r="U5" s="301"/>
      <c r="V5" s="301"/>
      <c r="W5" s="301"/>
      <c r="X5" s="301"/>
      <c r="Y5" s="301"/>
      <c r="Z5" s="301"/>
      <c r="AA5" s="301"/>
    </row>
    <row r="6" spans="1:27" x14ac:dyDescent="0.4">
      <c r="A6" s="8"/>
      <c r="B6" s="8"/>
      <c r="C6" s="8" t="s">
        <v>4</v>
      </c>
      <c r="F6" s="305" t="s">
        <v>204</v>
      </c>
      <c r="G6" s="305"/>
      <c r="H6" s="305"/>
      <c r="J6" s="305" t="s">
        <v>205</v>
      </c>
      <c r="K6" s="305"/>
      <c r="L6" s="305"/>
      <c r="U6" s="301"/>
      <c r="V6" s="301"/>
      <c r="W6" s="301"/>
      <c r="Y6" s="303"/>
      <c r="Z6" s="303"/>
      <c r="AA6" s="303"/>
    </row>
    <row r="7" spans="1:27" x14ac:dyDescent="0.4">
      <c r="A7" s="8"/>
      <c r="B7" s="8"/>
      <c r="C7" s="8"/>
      <c r="F7" s="305" t="s">
        <v>363</v>
      </c>
      <c r="G7" s="305"/>
      <c r="H7" s="305"/>
      <c r="I7" s="1"/>
      <c r="J7" s="305" t="str">
        <f>+F7</f>
        <v>For the three-month period ended March 31</v>
      </c>
      <c r="K7" s="305"/>
      <c r="L7" s="305"/>
      <c r="U7" s="301"/>
      <c r="V7" s="301"/>
      <c r="W7" s="301"/>
      <c r="Y7" s="301"/>
      <c r="Z7" s="301"/>
      <c r="AA7" s="301"/>
    </row>
    <row r="8" spans="1:27" x14ac:dyDescent="0.4">
      <c r="A8" s="8"/>
      <c r="B8" s="8"/>
      <c r="C8" s="8"/>
      <c r="D8" s="270" t="s">
        <v>133</v>
      </c>
      <c r="F8" s="270">
        <v>2025</v>
      </c>
      <c r="H8" s="270">
        <v>2024</v>
      </c>
      <c r="J8" s="270">
        <f>+F8</f>
        <v>2025</v>
      </c>
      <c r="K8" s="269"/>
      <c r="L8" s="270">
        <f>+H8</f>
        <v>2024</v>
      </c>
      <c r="U8" s="217"/>
      <c r="W8" s="217"/>
      <c r="X8" s="218"/>
      <c r="Y8" s="217"/>
      <c r="Z8" s="158"/>
      <c r="AA8" s="217"/>
    </row>
    <row r="9" spans="1:27" x14ac:dyDescent="0.4">
      <c r="A9" s="245" t="s">
        <v>157</v>
      </c>
      <c r="B9" s="8"/>
      <c r="C9" s="8"/>
      <c r="D9" s="12"/>
      <c r="E9" s="12"/>
      <c r="F9" s="9"/>
      <c r="G9" s="9"/>
      <c r="H9" s="9"/>
      <c r="I9" s="8"/>
      <c r="J9" s="10"/>
      <c r="K9" s="8"/>
      <c r="L9" s="10"/>
      <c r="N9" s="6"/>
      <c r="U9" s="9"/>
      <c r="V9" s="9"/>
      <c r="W9" s="9"/>
    </row>
    <row r="10" spans="1:27" x14ac:dyDescent="0.4">
      <c r="A10" s="8"/>
      <c r="B10" s="8" t="s">
        <v>224</v>
      </c>
      <c r="C10" s="8"/>
      <c r="D10" s="12"/>
      <c r="E10" s="12"/>
      <c r="F10" s="141">
        <v>5166125.1100000003</v>
      </c>
      <c r="G10" s="156"/>
      <c r="H10" s="205">
        <v>53160095.409999996</v>
      </c>
      <c r="I10" s="137"/>
      <c r="J10" s="20">
        <v>4978842.6100000003</v>
      </c>
      <c r="K10" s="137"/>
      <c r="L10" s="207">
        <v>52939279.769999996</v>
      </c>
      <c r="M10" s="6"/>
      <c r="N10" s="6"/>
      <c r="U10" s="213"/>
      <c r="V10" s="156"/>
      <c r="W10" s="212"/>
      <c r="X10" s="137"/>
      <c r="Y10" s="206"/>
      <c r="Z10" s="137"/>
      <c r="AA10" s="207"/>
    </row>
    <row r="11" spans="1:27" x14ac:dyDescent="0.4">
      <c r="A11" s="8"/>
      <c r="B11" s="8" t="s">
        <v>365</v>
      </c>
      <c r="C11" s="8"/>
      <c r="D11" s="12"/>
      <c r="E11" s="12"/>
      <c r="F11" s="141">
        <v>10016136.380000001</v>
      </c>
      <c r="G11" s="156"/>
      <c r="H11" s="205">
        <v>178356161.34999999</v>
      </c>
      <c r="I11" s="137"/>
      <c r="J11" s="271">
        <v>1834.36</v>
      </c>
      <c r="K11" s="272"/>
      <c r="L11" s="271">
        <v>4542.53</v>
      </c>
      <c r="M11" s="6"/>
      <c r="N11" s="6"/>
      <c r="U11" s="213"/>
      <c r="V11" s="156"/>
      <c r="W11" s="212"/>
      <c r="X11" s="137"/>
      <c r="Y11" s="206"/>
      <c r="Z11" s="137"/>
      <c r="AA11" s="207"/>
    </row>
    <row r="12" spans="1:27" x14ac:dyDescent="0.4">
      <c r="A12" s="8"/>
      <c r="B12" s="8" t="s">
        <v>305</v>
      </c>
      <c r="C12" s="8"/>
      <c r="D12" s="12">
        <v>8.4</v>
      </c>
      <c r="E12" s="12"/>
      <c r="F12" s="141">
        <v>0</v>
      </c>
      <c r="G12" s="156"/>
      <c r="H12" s="205">
        <v>298720580.35000002</v>
      </c>
      <c r="I12" s="137"/>
      <c r="J12" s="20">
        <v>0</v>
      </c>
      <c r="K12" s="137"/>
      <c r="L12" s="20">
        <v>0</v>
      </c>
      <c r="M12" s="6"/>
      <c r="N12" s="6"/>
      <c r="U12" s="213"/>
      <c r="V12" s="156"/>
      <c r="W12" s="212"/>
      <c r="X12" s="137"/>
      <c r="Y12" s="206"/>
      <c r="Z12" s="137"/>
      <c r="AA12" s="207"/>
    </row>
    <row r="13" spans="1:27" hidden="1" x14ac:dyDescent="0.4">
      <c r="A13" s="8"/>
      <c r="B13" s="8" t="s">
        <v>304</v>
      </c>
      <c r="C13" s="8"/>
      <c r="D13" s="12"/>
      <c r="E13" s="12"/>
      <c r="F13" s="141"/>
      <c r="G13" s="156"/>
      <c r="H13" s="141">
        <v>0</v>
      </c>
      <c r="I13" s="137"/>
      <c r="J13" s="13"/>
      <c r="K13" s="137"/>
      <c r="L13" s="13">
        <v>0</v>
      </c>
      <c r="M13" s="6"/>
      <c r="N13" s="6"/>
      <c r="U13" s="213"/>
      <c r="V13" s="156"/>
      <c r="W13" s="212"/>
      <c r="X13" s="137"/>
      <c r="Y13" s="206"/>
      <c r="Z13" s="137"/>
      <c r="AA13" s="207"/>
    </row>
    <row r="14" spans="1:27" x14ac:dyDescent="0.4">
      <c r="A14" s="8"/>
      <c r="B14" s="8" t="s">
        <v>319</v>
      </c>
      <c r="C14" s="8"/>
      <c r="D14" s="12"/>
      <c r="E14" s="12"/>
      <c r="F14" s="141">
        <v>28345486.469999999</v>
      </c>
      <c r="G14" s="156"/>
      <c r="H14" s="205">
        <v>49294038.630000003</v>
      </c>
      <c r="I14" s="137"/>
      <c r="J14" s="13">
        <v>10405.129999999999</v>
      </c>
      <c r="K14" s="137"/>
      <c r="L14" s="208">
        <v>19408.63</v>
      </c>
      <c r="M14" s="6"/>
      <c r="N14" s="6"/>
      <c r="U14" s="213"/>
      <c r="V14" s="156"/>
      <c r="W14" s="212"/>
      <c r="X14" s="137"/>
      <c r="Y14" s="206"/>
      <c r="Z14" s="137"/>
      <c r="AA14" s="207"/>
    </row>
    <row r="15" spans="1:27" hidden="1" x14ac:dyDescent="0.4">
      <c r="A15" s="8"/>
      <c r="B15" s="8" t="s">
        <v>334</v>
      </c>
      <c r="C15" s="8"/>
      <c r="D15" s="12"/>
      <c r="E15" s="12"/>
      <c r="F15" s="141"/>
      <c r="G15" s="156"/>
      <c r="H15" s="205">
        <v>0</v>
      </c>
      <c r="I15" s="137"/>
      <c r="J15" s="13"/>
      <c r="K15" s="137"/>
      <c r="L15" s="13">
        <v>0</v>
      </c>
      <c r="M15" s="6"/>
      <c r="N15" s="6"/>
      <c r="U15" s="213"/>
      <c r="V15" s="156"/>
      <c r="W15" s="212"/>
      <c r="X15" s="137"/>
      <c r="Y15" s="206"/>
      <c r="Z15" s="137"/>
      <c r="AA15" s="207"/>
    </row>
    <row r="16" spans="1:27" hidden="1" x14ac:dyDescent="0.4">
      <c r="A16" s="8"/>
      <c r="B16" s="8" t="s">
        <v>336</v>
      </c>
      <c r="C16" s="8"/>
      <c r="D16" s="12"/>
      <c r="E16" s="12"/>
      <c r="F16" s="141"/>
      <c r="G16" s="156"/>
      <c r="H16" s="141">
        <v>0</v>
      </c>
      <c r="I16" s="137"/>
      <c r="J16" s="13"/>
      <c r="K16" s="137"/>
      <c r="L16" s="13">
        <v>0</v>
      </c>
      <c r="M16" s="6"/>
      <c r="N16" s="6"/>
      <c r="U16" s="213"/>
      <c r="V16" s="156"/>
      <c r="W16" s="212"/>
      <c r="X16" s="137"/>
      <c r="Y16" s="206"/>
      <c r="Z16" s="137"/>
      <c r="AA16" s="207"/>
    </row>
    <row r="17" spans="1:27" x14ac:dyDescent="0.4">
      <c r="A17" s="8"/>
      <c r="B17" s="8" t="s">
        <v>159</v>
      </c>
      <c r="C17" s="8"/>
      <c r="D17" s="12"/>
      <c r="E17" s="12"/>
      <c r="F17" s="141">
        <f>17237516.05+0.36</f>
        <v>17237516.41</v>
      </c>
      <c r="G17" s="156"/>
      <c r="H17" s="205">
        <v>15466139.08</v>
      </c>
      <c r="I17" s="137"/>
      <c r="J17" s="20">
        <v>31899349.539999999</v>
      </c>
      <c r="K17" s="137"/>
      <c r="L17" s="207">
        <v>29942866.75</v>
      </c>
      <c r="M17" s="6"/>
      <c r="N17" s="6"/>
      <c r="U17" s="213"/>
      <c r="V17" s="156"/>
      <c r="W17" s="212"/>
      <c r="X17" s="137"/>
      <c r="Y17" s="206"/>
      <c r="Z17" s="137"/>
      <c r="AA17" s="207"/>
    </row>
    <row r="18" spans="1:27" x14ac:dyDescent="0.4">
      <c r="A18" s="8"/>
      <c r="B18" s="8" t="s">
        <v>158</v>
      </c>
      <c r="C18" s="8"/>
      <c r="D18" s="12"/>
      <c r="E18" s="12"/>
      <c r="F18" s="146"/>
      <c r="G18" s="146"/>
      <c r="H18" s="146"/>
      <c r="I18" s="137"/>
      <c r="J18" s="13"/>
      <c r="K18" s="137"/>
      <c r="L18" s="13"/>
      <c r="M18" s="6"/>
      <c r="N18" s="6"/>
      <c r="U18" s="201"/>
      <c r="V18" s="146"/>
      <c r="W18" s="146"/>
      <c r="X18" s="137"/>
      <c r="Y18" s="206"/>
      <c r="Z18" s="137"/>
      <c r="AA18" s="207"/>
    </row>
    <row r="19" spans="1:27" x14ac:dyDescent="0.4">
      <c r="A19" s="8"/>
      <c r="B19" s="8"/>
      <c r="C19" s="6" t="s">
        <v>321</v>
      </c>
      <c r="D19" s="12"/>
      <c r="E19" s="12"/>
      <c r="F19" s="146">
        <v>0</v>
      </c>
      <c r="G19" s="146"/>
      <c r="H19" s="208">
        <v>93079114.36999999</v>
      </c>
      <c r="I19" s="137"/>
      <c r="J19" s="13">
        <v>0</v>
      </c>
      <c r="K19" s="137"/>
      <c r="L19" s="208">
        <v>93078801.659999996</v>
      </c>
      <c r="M19" s="6"/>
      <c r="N19" s="6"/>
      <c r="U19" s="206"/>
      <c r="V19" s="146"/>
      <c r="W19" s="207"/>
      <c r="X19" s="137"/>
      <c r="Y19" s="206"/>
      <c r="Z19" s="137"/>
      <c r="AA19" s="207"/>
    </row>
    <row r="20" spans="1:27" hidden="1" x14ac:dyDescent="0.4">
      <c r="A20" s="8"/>
      <c r="B20" s="8"/>
      <c r="C20" s="8" t="s">
        <v>320</v>
      </c>
      <c r="D20" s="12"/>
      <c r="E20" s="12"/>
      <c r="F20" s="13"/>
      <c r="G20" s="156"/>
      <c r="H20" s="13">
        <v>0</v>
      </c>
      <c r="I20" s="137"/>
      <c r="J20" s="13"/>
      <c r="K20" s="137"/>
      <c r="L20" s="13">
        <v>0</v>
      </c>
      <c r="M20" s="6"/>
      <c r="N20" s="6"/>
      <c r="U20" s="206"/>
      <c r="V20" s="156"/>
      <c r="W20" s="207"/>
      <c r="X20" s="137"/>
      <c r="Y20" s="206"/>
      <c r="Z20" s="137"/>
      <c r="AA20" s="207"/>
    </row>
    <row r="21" spans="1:27" hidden="1" x14ac:dyDescent="0.4">
      <c r="A21" s="8"/>
      <c r="B21" s="8"/>
      <c r="C21" s="8" t="s">
        <v>322</v>
      </c>
      <c r="D21" s="12"/>
      <c r="E21" s="12"/>
      <c r="F21" s="13"/>
      <c r="G21" s="156"/>
      <c r="H21" s="13">
        <v>0</v>
      </c>
      <c r="I21" s="137"/>
      <c r="J21" s="13"/>
      <c r="K21" s="137"/>
      <c r="L21" s="13">
        <v>0</v>
      </c>
      <c r="M21" s="6"/>
      <c r="N21" s="6"/>
      <c r="U21" s="206"/>
      <c r="V21" s="156"/>
      <c r="W21" s="207"/>
      <c r="X21" s="137"/>
      <c r="Y21" s="206"/>
      <c r="Z21" s="137"/>
      <c r="AA21" s="207"/>
    </row>
    <row r="22" spans="1:27" x14ac:dyDescent="0.4">
      <c r="A22" s="8"/>
      <c r="B22" s="8"/>
      <c r="C22" s="8" t="s">
        <v>138</v>
      </c>
      <c r="D22" s="14"/>
      <c r="E22" s="14"/>
      <c r="F22" s="141">
        <f>2057189.63-0.36</f>
        <v>2057189.2699999998</v>
      </c>
      <c r="G22" s="156"/>
      <c r="H22" s="205">
        <v>143382.53</v>
      </c>
      <c r="I22" s="137"/>
      <c r="J22" s="13">
        <v>1633441.86</v>
      </c>
      <c r="K22" s="137"/>
      <c r="L22" s="208">
        <v>121782.53</v>
      </c>
      <c r="M22" s="6"/>
      <c r="N22" s="6"/>
      <c r="S22" s="14"/>
      <c r="T22" s="14"/>
      <c r="U22" s="213"/>
      <c r="V22" s="156"/>
      <c r="W22" s="212"/>
      <c r="X22" s="137"/>
      <c r="Y22" s="206"/>
      <c r="Z22" s="137"/>
      <c r="AA22" s="207"/>
    </row>
    <row r="23" spans="1:27" x14ac:dyDescent="0.4">
      <c r="A23" s="8"/>
      <c r="B23" s="8"/>
      <c r="C23" s="8" t="s">
        <v>160</v>
      </c>
      <c r="D23" s="12"/>
      <c r="E23" s="12"/>
      <c r="F23" s="140">
        <f>SUM(F10:F22)</f>
        <v>62822453.640000008</v>
      </c>
      <c r="G23" s="156"/>
      <c r="H23" s="140">
        <f>SUM(H10:H22)</f>
        <v>688219511.72000003</v>
      </c>
      <c r="I23" s="137"/>
      <c r="J23" s="140">
        <f>SUM(J10:J22)</f>
        <v>38523873.5</v>
      </c>
      <c r="K23" s="137"/>
      <c r="L23" s="140">
        <f>SUM(L10:L22)</f>
        <v>176106681.87</v>
      </c>
      <c r="M23" s="6"/>
      <c r="N23" s="6"/>
      <c r="U23" s="207"/>
      <c r="V23" s="156"/>
      <c r="W23" s="207"/>
      <c r="X23" s="137"/>
      <c r="Y23" s="207"/>
      <c r="Z23" s="137"/>
      <c r="AA23" s="207"/>
    </row>
    <row r="24" spans="1:27" x14ac:dyDescent="0.4">
      <c r="A24" s="8" t="s">
        <v>161</v>
      </c>
      <c r="B24" s="8"/>
      <c r="C24" s="8"/>
      <c r="D24" s="12"/>
      <c r="E24" s="12"/>
      <c r="F24" s="156"/>
      <c r="G24" s="156"/>
      <c r="H24" s="156"/>
      <c r="I24" s="137"/>
      <c r="J24" s="13"/>
      <c r="K24" s="137"/>
      <c r="L24" s="13"/>
      <c r="M24" s="6"/>
      <c r="N24" s="6"/>
      <c r="U24" s="213"/>
      <c r="V24" s="156"/>
      <c r="W24" s="212"/>
      <c r="X24" s="137"/>
      <c r="Y24" s="206"/>
      <c r="Z24" s="137"/>
      <c r="AA24" s="207"/>
    </row>
    <row r="25" spans="1:27" x14ac:dyDescent="0.4">
      <c r="A25" s="8"/>
      <c r="B25" s="8" t="s">
        <v>252</v>
      </c>
      <c r="C25" s="8"/>
      <c r="D25" s="12"/>
      <c r="E25" s="12"/>
      <c r="F25" s="156">
        <v>21370592.079999998</v>
      </c>
      <c r="G25" s="156"/>
      <c r="H25" s="205">
        <v>18544241.440000001</v>
      </c>
      <c r="I25" s="137"/>
      <c r="J25" s="13">
        <v>20957488.890000001</v>
      </c>
      <c r="K25" s="137"/>
      <c r="L25" s="208">
        <v>17872505.469999999</v>
      </c>
      <c r="M25" s="6"/>
      <c r="N25" s="6"/>
      <c r="U25" s="213"/>
      <c r="V25" s="156"/>
      <c r="W25" s="212"/>
      <c r="X25" s="137"/>
      <c r="Y25" s="206"/>
      <c r="Z25" s="137"/>
      <c r="AA25" s="207"/>
    </row>
    <row r="26" spans="1:27" x14ac:dyDescent="0.4">
      <c r="A26" s="8"/>
      <c r="B26" s="8" t="s">
        <v>364</v>
      </c>
      <c r="C26" s="8"/>
      <c r="D26" s="12"/>
      <c r="E26" s="12"/>
      <c r="F26" s="156"/>
      <c r="G26" s="156"/>
      <c r="H26" s="205"/>
      <c r="I26" s="137"/>
      <c r="J26" s="13"/>
      <c r="K26" s="137"/>
      <c r="L26" s="208"/>
      <c r="M26" s="6"/>
      <c r="N26" s="6"/>
      <c r="U26" s="213"/>
      <c r="V26" s="156"/>
      <c r="W26" s="212"/>
      <c r="X26" s="137"/>
      <c r="Y26" s="206"/>
      <c r="Z26" s="137"/>
      <c r="AA26" s="207"/>
    </row>
    <row r="27" spans="1:27" x14ac:dyDescent="0.4">
      <c r="A27" s="8"/>
      <c r="B27" s="8"/>
      <c r="C27" s="8" t="s">
        <v>366</v>
      </c>
      <c r="D27" s="12"/>
      <c r="E27" s="12"/>
      <c r="F27" s="273">
        <f>11425.34+10016136.38</f>
        <v>10027561.720000001</v>
      </c>
      <c r="G27" s="156"/>
      <c r="H27" s="205">
        <v>52283446.32</v>
      </c>
      <c r="I27" s="137"/>
      <c r="J27" s="274">
        <v>1940.46</v>
      </c>
      <c r="K27" s="272"/>
      <c r="L27" s="274">
        <v>5077.53</v>
      </c>
      <c r="M27" s="6"/>
      <c r="N27" s="6"/>
      <c r="U27" s="206"/>
      <c r="V27" s="156"/>
      <c r="W27" s="207"/>
      <c r="X27" s="137"/>
      <c r="Y27" s="206"/>
      <c r="Z27" s="137"/>
      <c r="AA27" s="207"/>
    </row>
    <row r="28" spans="1:27" x14ac:dyDescent="0.4">
      <c r="A28" s="8"/>
      <c r="B28" s="8"/>
      <c r="C28" s="8" t="s">
        <v>367</v>
      </c>
      <c r="D28" s="12"/>
      <c r="E28" s="12"/>
      <c r="F28" s="156">
        <v>119421401.15000001</v>
      </c>
      <c r="G28" s="156"/>
      <c r="H28" s="208">
        <v>-132654980.65000001</v>
      </c>
      <c r="I28" s="137"/>
      <c r="J28" s="13">
        <v>-0.56999999999999995</v>
      </c>
      <c r="K28" s="137"/>
      <c r="L28" s="208">
        <v>-88799.81</v>
      </c>
      <c r="M28" s="6"/>
      <c r="N28" s="6"/>
      <c r="S28" s="219"/>
      <c r="T28" s="7"/>
      <c r="U28" s="213"/>
      <c r="V28" s="156"/>
      <c r="W28" s="212"/>
      <c r="X28" s="137"/>
      <c r="Y28" s="206"/>
      <c r="Z28" s="137"/>
      <c r="AA28" s="207"/>
    </row>
    <row r="29" spans="1:27" x14ac:dyDescent="0.4">
      <c r="A29" s="8"/>
      <c r="B29" s="8" t="s">
        <v>211</v>
      </c>
      <c r="C29" s="8"/>
      <c r="D29" s="7"/>
      <c r="E29" s="7"/>
      <c r="F29" s="156">
        <f>17309771.28+14860902.77</f>
        <v>32170674.050000001</v>
      </c>
      <c r="G29" s="156"/>
      <c r="H29" s="205">
        <v>31828591.289999999</v>
      </c>
      <c r="I29" s="137"/>
      <c r="J29" s="13">
        <f>16832978.06+14860902.77</f>
        <v>31693880.829999998</v>
      </c>
      <c r="K29" s="137"/>
      <c r="L29" s="208">
        <v>20878802.670000002</v>
      </c>
      <c r="M29" s="6"/>
      <c r="N29" s="6"/>
      <c r="T29" s="7"/>
      <c r="U29" s="213"/>
      <c r="V29" s="156"/>
      <c r="W29" s="212"/>
      <c r="X29" s="137"/>
      <c r="Y29" s="206"/>
      <c r="Z29" s="137"/>
      <c r="AA29" s="207"/>
    </row>
    <row r="30" spans="1:27" x14ac:dyDescent="0.4">
      <c r="A30" s="8"/>
      <c r="B30" s="8" t="s">
        <v>306</v>
      </c>
      <c r="C30" s="8"/>
      <c r="D30" s="12">
        <v>8.4</v>
      </c>
      <c r="E30" s="7"/>
      <c r="F30" s="156">
        <v>174853077.97999999</v>
      </c>
      <c r="G30" s="156"/>
      <c r="H30" s="156">
        <v>0</v>
      </c>
      <c r="I30" s="137"/>
      <c r="J30" s="13">
        <v>36328037.450000003</v>
      </c>
      <c r="K30" s="137"/>
      <c r="L30" s="208">
        <v>6620719.7199999997</v>
      </c>
      <c r="M30" s="6"/>
      <c r="N30" s="6"/>
      <c r="T30" s="7"/>
      <c r="U30" s="213"/>
      <c r="V30" s="156"/>
      <c r="W30" s="212"/>
      <c r="X30" s="137"/>
      <c r="Y30" s="206"/>
      <c r="Z30" s="137"/>
      <c r="AA30" s="207"/>
    </row>
    <row r="31" spans="1:27" hidden="1" x14ac:dyDescent="0.4">
      <c r="A31" s="8"/>
      <c r="B31" s="8" t="s">
        <v>335</v>
      </c>
      <c r="C31" s="8"/>
      <c r="D31" s="12"/>
      <c r="E31" s="7"/>
      <c r="F31" s="156"/>
      <c r="G31" s="156"/>
      <c r="H31" s="205"/>
      <c r="I31" s="137"/>
      <c r="J31" s="13"/>
      <c r="K31" s="137"/>
      <c r="L31" s="208"/>
      <c r="M31" s="6"/>
      <c r="N31" s="6"/>
      <c r="T31" s="7"/>
      <c r="U31" s="213"/>
      <c r="V31" s="156"/>
      <c r="W31" s="212"/>
      <c r="X31" s="137"/>
      <c r="Y31" s="206"/>
      <c r="Z31" s="137"/>
      <c r="AA31" s="207"/>
    </row>
    <row r="32" spans="1:27" hidden="1" x14ac:dyDescent="0.4">
      <c r="A32" s="8"/>
      <c r="B32" s="8" t="s">
        <v>309</v>
      </c>
      <c r="C32" s="8"/>
      <c r="D32" s="12"/>
      <c r="E32" s="7"/>
      <c r="F32" s="141"/>
      <c r="G32" s="156"/>
      <c r="H32" s="141"/>
      <c r="I32" s="137"/>
      <c r="J32" s="13"/>
      <c r="K32" s="137"/>
      <c r="L32" s="13"/>
      <c r="M32" s="6"/>
      <c r="N32" s="6"/>
      <c r="U32" s="207"/>
      <c r="V32" s="156"/>
      <c r="W32" s="207"/>
      <c r="X32" s="137"/>
      <c r="Y32" s="207"/>
      <c r="Z32" s="137"/>
      <c r="AA32" s="207"/>
    </row>
    <row r="33" spans="1:27" x14ac:dyDescent="0.4">
      <c r="A33" s="8"/>
      <c r="B33" s="8"/>
      <c r="C33" s="8" t="s">
        <v>162</v>
      </c>
      <c r="D33" s="12"/>
      <c r="E33" s="12"/>
      <c r="F33" s="140">
        <f>SUM(F25:F32)</f>
        <v>357843306.98000002</v>
      </c>
      <c r="G33" s="141"/>
      <c r="H33" s="140">
        <f>SUM(H25:H32)</f>
        <v>-29998701.600000001</v>
      </c>
      <c r="I33" s="13"/>
      <c r="J33" s="140">
        <f>SUM(J25:J32)</f>
        <v>88981347.060000002</v>
      </c>
      <c r="K33" s="13"/>
      <c r="L33" s="140">
        <f>SUM(L25:L32)</f>
        <v>45288305.579999998</v>
      </c>
      <c r="M33" s="6"/>
      <c r="N33" s="6"/>
      <c r="S33" s="215"/>
      <c r="T33" s="215"/>
      <c r="U33" s="207"/>
      <c r="V33" s="212"/>
      <c r="W33" s="207"/>
      <c r="X33" s="137"/>
      <c r="Y33" s="207"/>
      <c r="Z33" s="137"/>
      <c r="AA33" s="207"/>
    </row>
    <row r="34" spans="1:27" x14ac:dyDescent="0.4">
      <c r="A34" s="8"/>
      <c r="B34" s="8"/>
      <c r="C34" s="8"/>
      <c r="D34" s="12"/>
      <c r="E34" s="12"/>
      <c r="F34" s="156"/>
      <c r="G34" s="156"/>
      <c r="H34" s="156"/>
      <c r="I34" s="137"/>
      <c r="J34" s="13"/>
      <c r="K34" s="137"/>
      <c r="L34" s="13"/>
      <c r="M34" s="6"/>
      <c r="N34" s="6"/>
      <c r="S34" s="215"/>
      <c r="T34" s="215"/>
      <c r="U34" s="206"/>
      <c r="V34" s="212"/>
      <c r="W34" s="207"/>
      <c r="X34" s="137"/>
      <c r="Y34" s="206"/>
      <c r="Z34" s="137"/>
      <c r="AA34" s="207"/>
    </row>
    <row r="35" spans="1:27" x14ac:dyDescent="0.4">
      <c r="A35" s="8" t="s">
        <v>311</v>
      </c>
      <c r="B35" s="8"/>
      <c r="C35" s="8"/>
      <c r="D35" s="12"/>
      <c r="E35" s="12"/>
      <c r="F35" s="156">
        <f>+F23-F33</f>
        <v>-295020853.34000003</v>
      </c>
      <c r="G35" s="156"/>
      <c r="H35" s="156">
        <f>+H23-H33</f>
        <v>718218213.32000005</v>
      </c>
      <c r="I35" s="137"/>
      <c r="J35" s="156">
        <f>+J23-J33</f>
        <v>-50457473.560000002</v>
      </c>
      <c r="K35" s="137"/>
      <c r="L35" s="156">
        <f>+L23-L33</f>
        <v>130818376.29000001</v>
      </c>
      <c r="M35" s="6"/>
      <c r="N35" s="6"/>
      <c r="P35" s="220"/>
      <c r="T35" s="215"/>
      <c r="U35" s="206"/>
      <c r="V35" s="212"/>
      <c r="W35" s="207"/>
      <c r="X35" s="137"/>
      <c r="Y35" s="206"/>
      <c r="Z35" s="137"/>
      <c r="AA35" s="207"/>
    </row>
    <row r="36" spans="1:27" x14ac:dyDescent="0.4">
      <c r="A36" s="8"/>
      <c r="B36" s="8" t="s">
        <v>212</v>
      </c>
      <c r="C36" s="8"/>
      <c r="D36" s="12"/>
      <c r="E36" s="12"/>
      <c r="F36" s="156">
        <v>2563920.42</v>
      </c>
      <c r="G36" s="156"/>
      <c r="H36" s="208">
        <v>2298509.58</v>
      </c>
      <c r="I36" s="137"/>
      <c r="J36" s="156">
        <v>2615701.25</v>
      </c>
      <c r="K36" s="137"/>
      <c r="L36" s="208">
        <v>2407525.98</v>
      </c>
      <c r="M36" s="6"/>
      <c r="N36" s="6"/>
      <c r="S36" s="215"/>
      <c r="T36" s="215"/>
      <c r="U36" s="207"/>
      <c r="V36" s="212"/>
      <c r="W36" s="207"/>
      <c r="X36" s="137"/>
      <c r="Y36" s="207"/>
      <c r="Z36" s="137"/>
      <c r="AA36" s="207"/>
    </row>
    <row r="37" spans="1:27" ht="18" customHeight="1" x14ac:dyDescent="0.4">
      <c r="A37" s="8"/>
      <c r="B37" s="8" t="s">
        <v>323</v>
      </c>
      <c r="C37" s="8"/>
      <c r="D37" s="219">
        <v>10.199999999999999</v>
      </c>
      <c r="E37" s="7"/>
      <c r="F37" s="275">
        <f>-54035440+335543.17</f>
        <v>-53699896.829999998</v>
      </c>
      <c r="G37" s="156"/>
      <c r="H37" s="210">
        <v>-8074747.1600000001</v>
      </c>
      <c r="I37" s="137"/>
      <c r="J37" s="138">
        <f>-54035440+335543.17</f>
        <v>-53699896.829999998</v>
      </c>
      <c r="K37" s="137"/>
      <c r="L37" s="210">
        <v>-8074747.1600000001</v>
      </c>
      <c r="M37" s="6"/>
      <c r="N37" s="6"/>
      <c r="U37" s="213"/>
      <c r="V37" s="156"/>
      <c r="W37" s="212"/>
      <c r="X37" s="137"/>
      <c r="Y37" s="206"/>
      <c r="Z37" s="207"/>
      <c r="AA37" s="207"/>
    </row>
    <row r="38" spans="1:27" x14ac:dyDescent="0.4">
      <c r="A38" s="8"/>
      <c r="B38" s="8"/>
      <c r="C38" s="8"/>
      <c r="D38" s="12"/>
      <c r="E38" s="12"/>
      <c r="F38" s="156"/>
      <c r="G38" s="156"/>
      <c r="H38" s="156"/>
      <c r="I38" s="137"/>
      <c r="J38" s="13"/>
      <c r="K38" s="137"/>
      <c r="L38" s="13"/>
      <c r="M38" s="6"/>
      <c r="N38" s="6"/>
      <c r="U38" s="212"/>
      <c r="V38" s="156"/>
      <c r="W38" s="212"/>
      <c r="X38" s="137"/>
      <c r="Y38" s="156"/>
      <c r="Z38" s="207"/>
      <c r="AA38" s="156"/>
    </row>
    <row r="39" spans="1:27" ht="15.75" customHeight="1" x14ac:dyDescent="0.4">
      <c r="A39" s="8" t="s">
        <v>256</v>
      </c>
      <c r="B39" s="8"/>
      <c r="C39" s="8"/>
      <c r="D39" s="28"/>
      <c r="E39" s="28"/>
      <c r="F39" s="13">
        <f>+F35-F36+F37</f>
        <v>-351284670.59000003</v>
      </c>
      <c r="G39" s="141"/>
      <c r="H39" s="13">
        <f>+H35-H36+H37</f>
        <v>707844956.58000004</v>
      </c>
      <c r="I39" s="137"/>
      <c r="J39" s="13">
        <f>+J35-J36+J37</f>
        <v>-106773071.64</v>
      </c>
      <c r="K39" s="137"/>
      <c r="L39" s="13">
        <f>+L35-L36+L37</f>
        <v>120336103.15000001</v>
      </c>
      <c r="M39" s="6"/>
      <c r="N39" s="6"/>
      <c r="P39" s="17"/>
      <c r="Q39" s="17"/>
      <c r="R39" s="17"/>
      <c r="S39" s="221"/>
      <c r="T39" s="239"/>
      <c r="U39" s="214"/>
      <c r="V39" s="240"/>
      <c r="W39" s="214"/>
      <c r="X39" s="214"/>
      <c r="Y39" s="214"/>
      <c r="Z39" s="240"/>
      <c r="AA39" s="214"/>
    </row>
    <row r="40" spans="1:27" x14ac:dyDescent="0.4">
      <c r="A40" s="8" t="s">
        <v>268</v>
      </c>
      <c r="B40" s="8"/>
      <c r="C40" s="8"/>
      <c r="D40" s="269">
        <v>18.2</v>
      </c>
      <c r="F40" s="148">
        <f>16395681.29-67108.63+2972180.55</f>
        <v>19300753.209999997</v>
      </c>
      <c r="G40" s="156"/>
      <c r="H40" s="211">
        <v>-24124805.849999998</v>
      </c>
      <c r="I40" s="137"/>
      <c r="J40" s="138">
        <f>16264290.28-67108.63+2972180.55</f>
        <v>19169362.199999999</v>
      </c>
      <c r="K40" s="13"/>
      <c r="L40" s="210">
        <v>-24393241.379999999</v>
      </c>
      <c r="M40" s="6"/>
      <c r="N40" s="6"/>
      <c r="P40" s="17"/>
      <c r="Q40" s="17"/>
      <c r="R40" s="17"/>
      <c r="S40" s="221"/>
      <c r="T40" s="124"/>
      <c r="U40" s="212"/>
      <c r="V40" s="156"/>
      <c r="W40" s="212"/>
      <c r="X40" s="156"/>
      <c r="Y40" s="156"/>
      <c r="Z40" s="156"/>
      <c r="AA40" s="156"/>
    </row>
    <row r="41" spans="1:27" ht="18.75" thickBot="1" x14ac:dyDescent="0.45">
      <c r="A41" s="17" t="s">
        <v>163</v>
      </c>
      <c r="B41" s="8"/>
      <c r="C41" s="8"/>
      <c r="D41" s="12"/>
      <c r="E41" s="12"/>
      <c r="F41" s="276">
        <f>SUM(F39:F40)</f>
        <v>-331983917.38000005</v>
      </c>
      <c r="G41" s="156"/>
      <c r="H41" s="276">
        <f>SUM(H39:H40)</f>
        <v>683720150.73000002</v>
      </c>
      <c r="I41" s="137"/>
      <c r="J41" s="276">
        <f>SUM(J39:J40)</f>
        <v>-87603709.439999998</v>
      </c>
      <c r="K41" s="13"/>
      <c r="L41" s="276">
        <f>SUM(L39:L40)</f>
        <v>95942861.770000011</v>
      </c>
      <c r="M41" s="6"/>
      <c r="N41" s="6"/>
      <c r="P41" s="17"/>
      <c r="S41" s="221"/>
      <c r="T41" s="124"/>
      <c r="U41" s="213"/>
      <c r="V41" s="207"/>
      <c r="W41" s="212"/>
      <c r="X41" s="214"/>
      <c r="Y41" s="222"/>
      <c r="Z41" s="214"/>
      <c r="AA41" s="214"/>
    </row>
    <row r="42" spans="1:27" ht="10.5" customHeight="1" thickTop="1" x14ac:dyDescent="0.4">
      <c r="A42" s="17"/>
      <c r="B42" s="8"/>
      <c r="C42" s="8"/>
      <c r="D42" s="12"/>
      <c r="E42" s="12"/>
      <c r="F42" s="156"/>
      <c r="G42" s="156"/>
      <c r="H42" s="156"/>
      <c r="I42" s="137"/>
      <c r="J42" s="156"/>
      <c r="K42" s="13"/>
      <c r="L42" s="156"/>
      <c r="M42" s="6"/>
      <c r="N42" s="6"/>
      <c r="P42" s="241"/>
      <c r="Q42" s="241"/>
      <c r="R42" s="241"/>
      <c r="S42" s="221"/>
      <c r="T42" s="124"/>
      <c r="U42" s="212"/>
      <c r="V42" s="240"/>
      <c r="W42" s="212"/>
      <c r="X42" s="240"/>
      <c r="Y42" s="156"/>
      <c r="Z42" s="240"/>
      <c r="AA42" s="156"/>
    </row>
    <row r="43" spans="1:27" x14ac:dyDescent="0.4">
      <c r="A43" s="17" t="s">
        <v>238</v>
      </c>
      <c r="B43" s="250"/>
      <c r="C43" s="17"/>
      <c r="D43" s="12"/>
      <c r="E43" s="12"/>
      <c r="F43" s="156"/>
      <c r="G43" s="156"/>
      <c r="H43" s="156"/>
      <c r="I43" s="137"/>
      <c r="J43" s="156"/>
      <c r="K43" s="13"/>
      <c r="L43" s="156"/>
      <c r="M43" s="6"/>
      <c r="N43" s="6"/>
      <c r="S43" s="159"/>
      <c r="U43" s="156"/>
      <c r="V43" s="156"/>
      <c r="W43" s="156"/>
      <c r="X43" s="137"/>
      <c r="Y43" s="207"/>
      <c r="Z43" s="137"/>
      <c r="AA43" s="207"/>
    </row>
    <row r="44" spans="1:27" ht="15" customHeight="1" x14ac:dyDescent="0.4">
      <c r="A44" s="17"/>
      <c r="B44" s="17" t="s">
        <v>239</v>
      </c>
      <c r="C44" s="17"/>
      <c r="D44" s="12"/>
      <c r="E44" s="12"/>
      <c r="F44" s="156">
        <f>+F41-F45</f>
        <v>-331844007.80000007</v>
      </c>
      <c r="G44" s="156"/>
      <c r="H44" s="156">
        <f>+H41-H45</f>
        <v>683870061.47000003</v>
      </c>
      <c r="I44" s="156"/>
      <c r="J44" s="156">
        <f>J41</f>
        <v>-87603709.439999998</v>
      </c>
      <c r="K44" s="156"/>
      <c r="L44" s="156">
        <f>L41</f>
        <v>95942861.770000011</v>
      </c>
      <c r="M44" s="6"/>
      <c r="N44" s="6"/>
      <c r="Q44" s="17"/>
      <c r="S44" s="223"/>
      <c r="U44" s="224"/>
      <c r="V44" s="160"/>
      <c r="W44" s="224"/>
      <c r="X44" s="161"/>
      <c r="Y44" s="224"/>
      <c r="Z44" s="161"/>
      <c r="AA44" s="224"/>
    </row>
    <row r="45" spans="1:27" x14ac:dyDescent="0.4">
      <c r="A45" s="17"/>
      <c r="B45" s="8" t="s">
        <v>232</v>
      </c>
      <c r="C45" s="8"/>
      <c r="D45" s="12"/>
      <c r="E45" s="12"/>
      <c r="F45" s="275">
        <v>-139909.57999999999</v>
      </c>
      <c r="G45" s="20"/>
      <c r="H45" s="212">
        <v>-149910.74</v>
      </c>
      <c r="I45" s="242"/>
      <c r="J45" s="243">
        <v>0</v>
      </c>
      <c r="K45" s="242"/>
      <c r="L45" s="243">
        <v>0</v>
      </c>
      <c r="M45" s="6"/>
      <c r="N45" s="6"/>
      <c r="U45" s="225"/>
      <c r="V45" s="162"/>
      <c r="W45" s="226"/>
      <c r="X45" s="162"/>
      <c r="Y45" s="225"/>
      <c r="Z45" s="162"/>
      <c r="AA45" s="226"/>
    </row>
    <row r="46" spans="1:27" ht="18.75" thickBot="1" x14ac:dyDescent="0.45">
      <c r="A46" s="8"/>
      <c r="B46" s="8"/>
      <c r="C46" s="8"/>
      <c r="D46" s="28"/>
      <c r="E46" s="28"/>
      <c r="F46" s="142">
        <f>SUM(F44:F45)</f>
        <v>-331983917.38000005</v>
      </c>
      <c r="G46" s="141"/>
      <c r="H46" s="142">
        <f>SUM(H44:H45)</f>
        <v>683720150.73000002</v>
      </c>
      <c r="I46" s="137"/>
      <c r="J46" s="142">
        <f>SUM(J44:J45)</f>
        <v>-87603709.439999998</v>
      </c>
      <c r="K46" s="137"/>
      <c r="L46" s="142">
        <f>SUM(L44:L45)</f>
        <v>95942861.770000011</v>
      </c>
      <c r="M46" s="6"/>
      <c r="N46" s="6"/>
      <c r="U46" s="156"/>
      <c r="V46" s="156"/>
      <c r="W46" s="156"/>
      <c r="X46" s="137"/>
      <c r="Y46" s="207"/>
      <c r="Z46" s="137"/>
      <c r="AA46" s="207"/>
    </row>
    <row r="47" spans="1:27" ht="9.75" customHeight="1" thickTop="1" x14ac:dyDescent="0.4">
      <c r="A47" s="8"/>
      <c r="B47" s="8"/>
      <c r="C47" s="8"/>
      <c r="D47" s="12"/>
      <c r="E47" s="12"/>
      <c r="F47" s="156"/>
      <c r="G47" s="156"/>
      <c r="H47" s="156"/>
      <c r="I47" s="137"/>
      <c r="J47" s="20"/>
      <c r="K47" s="137"/>
      <c r="L47" s="20"/>
      <c r="M47" s="6"/>
      <c r="N47" s="6"/>
      <c r="Q47" s="17"/>
      <c r="S47" s="223"/>
      <c r="U47" s="224"/>
      <c r="V47" s="160"/>
      <c r="W47" s="224"/>
      <c r="X47" s="161"/>
      <c r="Y47" s="224"/>
      <c r="Z47" s="161"/>
      <c r="AA47" s="224"/>
    </row>
    <row r="48" spans="1:27" ht="14.25" customHeight="1" x14ac:dyDescent="0.4">
      <c r="A48" s="17" t="s">
        <v>246</v>
      </c>
      <c r="B48" s="8"/>
      <c r="C48" s="8"/>
      <c r="D48" s="159"/>
      <c r="E48" s="12"/>
      <c r="F48" s="156"/>
      <c r="G48" s="156"/>
      <c r="H48" s="156"/>
      <c r="I48" s="137"/>
      <c r="J48" s="20"/>
      <c r="K48" s="137"/>
      <c r="L48" s="20"/>
      <c r="M48" s="6"/>
      <c r="N48" s="4"/>
      <c r="U48" s="225"/>
      <c r="V48" s="163"/>
      <c r="W48" s="226"/>
      <c r="X48" s="162"/>
      <c r="Y48" s="225"/>
      <c r="Z48" s="162"/>
      <c r="AA48" s="226"/>
    </row>
    <row r="49" spans="1:27" ht="18.75" thickBot="1" x14ac:dyDescent="0.45">
      <c r="A49" s="8"/>
      <c r="B49" s="17" t="s">
        <v>208</v>
      </c>
      <c r="C49" s="8"/>
      <c r="D49" s="12">
        <v>25</v>
      </c>
      <c r="E49" s="12"/>
      <c r="F49" s="152">
        <f>ROUND((+F44/F50),3)</f>
        <v>-3.1E-2</v>
      </c>
      <c r="G49" s="160"/>
      <c r="H49" s="152">
        <f>ROUND((+H44/H50),3)</f>
        <v>7.2999999999999995E-2</v>
      </c>
      <c r="I49" s="161"/>
      <c r="J49" s="152">
        <f>ROUND((+J44/J50),3)</f>
        <v>-8.0000000000000002E-3</v>
      </c>
      <c r="K49" s="161"/>
      <c r="L49" s="152">
        <f>ROUND((+L44/L50),3)</f>
        <v>0.01</v>
      </c>
      <c r="M49" s="6"/>
      <c r="N49" s="4"/>
      <c r="U49" s="146"/>
      <c r="V49" s="146"/>
      <c r="W49" s="146"/>
      <c r="X49" s="137"/>
      <c r="Y49" s="207"/>
      <c r="Z49" s="137"/>
      <c r="AA49" s="207"/>
    </row>
    <row r="50" spans="1:27" ht="19.5" thickTop="1" thickBot="1" x14ac:dyDescent="0.45">
      <c r="A50" s="8"/>
      <c r="B50" s="17" t="s">
        <v>164</v>
      </c>
      <c r="C50" s="8"/>
      <c r="D50" s="12"/>
      <c r="E50" s="12"/>
      <c r="F50" s="151">
        <v>10800820471</v>
      </c>
      <c r="G50" s="277"/>
      <c r="H50" s="151">
        <v>9315208558</v>
      </c>
      <c r="I50" s="162"/>
      <c r="J50" s="151">
        <v>10800820471</v>
      </c>
      <c r="K50" s="277"/>
      <c r="L50" s="151">
        <v>9315208558</v>
      </c>
      <c r="M50" s="6"/>
      <c r="N50" s="4"/>
      <c r="U50" s="146"/>
      <c r="V50" s="146"/>
      <c r="W50" s="146"/>
      <c r="X50" s="137"/>
      <c r="Y50" s="207"/>
      <c r="Z50" s="137"/>
      <c r="AA50" s="207"/>
    </row>
    <row r="51" spans="1:27" ht="18.75" thickTop="1" x14ac:dyDescent="0.4">
      <c r="A51" s="8"/>
      <c r="B51" s="8"/>
      <c r="C51" s="8"/>
      <c r="D51" s="12"/>
      <c r="E51" s="12"/>
      <c r="F51" s="146"/>
      <c r="G51" s="146"/>
      <c r="H51" s="146"/>
      <c r="I51" s="137"/>
      <c r="J51" s="13"/>
      <c r="K51" s="137"/>
      <c r="L51" s="13"/>
      <c r="M51" s="6"/>
      <c r="N51" s="6"/>
      <c r="U51" s="146"/>
      <c r="V51" s="146"/>
      <c r="W51" s="146"/>
      <c r="X51" s="137"/>
      <c r="Y51" s="207"/>
      <c r="Z51" s="137"/>
      <c r="AA51" s="207"/>
    </row>
    <row r="52" spans="1:27" x14ac:dyDescent="0.4">
      <c r="A52" s="17" t="s">
        <v>247</v>
      </c>
      <c r="B52" s="8"/>
      <c r="C52" s="8"/>
      <c r="D52" s="159"/>
      <c r="E52" s="12"/>
      <c r="F52" s="156"/>
      <c r="G52" s="156"/>
      <c r="H52" s="156"/>
      <c r="I52" s="137"/>
      <c r="J52" s="20"/>
      <c r="K52" s="137"/>
      <c r="L52" s="20"/>
      <c r="M52" s="6"/>
      <c r="N52" s="4"/>
    </row>
    <row r="53" spans="1:27" ht="18.75" thickBot="1" x14ac:dyDescent="0.45">
      <c r="A53" s="8"/>
      <c r="B53" s="17" t="s">
        <v>208</v>
      </c>
      <c r="C53" s="8"/>
      <c r="D53" s="12">
        <v>25</v>
      </c>
      <c r="E53" s="12"/>
      <c r="F53" s="152">
        <f>ROUND((+F44/F54),3)</f>
        <v>-3.4000000000000002E-2</v>
      </c>
      <c r="G53" s="160"/>
      <c r="H53" s="152">
        <f>ROUND((+H44/H54),3)</f>
        <v>7.8E-2</v>
      </c>
      <c r="I53" s="161"/>
      <c r="J53" s="152">
        <f>ROUND((+J44/J54),3)</f>
        <v>-8.9999999999999993E-3</v>
      </c>
      <c r="K53" s="161"/>
      <c r="L53" s="152">
        <f>ROUND((+L44/L54),3)</f>
        <v>1.0999999999999999E-2</v>
      </c>
      <c r="M53" s="6"/>
      <c r="N53" s="4"/>
      <c r="Q53" s="23"/>
      <c r="R53" s="12"/>
      <c r="S53" s="23"/>
      <c r="U53" s="23"/>
      <c r="X53" s="12"/>
      <c r="Y53" s="12"/>
      <c r="Z53" s="12"/>
      <c r="AA53" s="12"/>
    </row>
    <row r="54" spans="1:27" ht="16.5" customHeight="1" thickTop="1" thickBot="1" x14ac:dyDescent="0.45">
      <c r="A54" s="8"/>
      <c r="B54" s="17" t="s">
        <v>164</v>
      </c>
      <c r="C54" s="8"/>
      <c r="D54" s="12"/>
      <c r="E54" s="12"/>
      <c r="F54" s="151">
        <v>9791937151</v>
      </c>
      <c r="G54" s="163"/>
      <c r="H54" s="151">
        <v>8803231880</v>
      </c>
      <c r="I54" s="162"/>
      <c r="J54" s="151">
        <v>9791937151</v>
      </c>
      <c r="K54" s="277"/>
      <c r="L54" s="151">
        <v>8803231880</v>
      </c>
      <c r="M54" s="6"/>
      <c r="N54" s="4"/>
      <c r="P54" s="12"/>
      <c r="S54" s="8"/>
      <c r="T54" s="8"/>
      <c r="U54" s="8"/>
      <c r="V54" s="8"/>
      <c r="W54" s="8"/>
      <c r="Y54" s="8"/>
      <c r="AA54" s="8"/>
    </row>
    <row r="55" spans="1:27" ht="18.75" thickTop="1" x14ac:dyDescent="0.4">
      <c r="A55" s="8"/>
      <c r="B55" s="8"/>
      <c r="C55" s="8"/>
      <c r="D55" s="12"/>
      <c r="E55" s="12"/>
      <c r="F55" s="12"/>
      <c r="G55" s="12"/>
      <c r="H55" s="12"/>
      <c r="I55" s="8"/>
      <c r="J55" s="10"/>
      <c r="K55" s="8"/>
      <c r="L55" s="10"/>
      <c r="M55" s="6"/>
      <c r="N55" s="4"/>
      <c r="P55" s="12"/>
      <c r="Q55" s="23"/>
      <c r="R55" s="12"/>
      <c r="S55" s="23"/>
      <c r="U55" s="23"/>
      <c r="X55" s="12"/>
      <c r="Y55" s="12"/>
      <c r="Z55" s="12"/>
      <c r="AA55" s="12"/>
    </row>
    <row r="56" spans="1:27" ht="17.25" customHeight="1" x14ac:dyDescent="0.4">
      <c r="A56" s="14" t="s">
        <v>373</v>
      </c>
      <c r="B56" s="8"/>
      <c r="C56" s="8"/>
      <c r="D56" s="12"/>
      <c r="E56" s="12"/>
      <c r="F56" s="12"/>
      <c r="G56" s="12"/>
      <c r="H56" s="12"/>
      <c r="I56" s="8"/>
      <c r="J56" s="10"/>
      <c r="K56" s="8"/>
      <c r="L56" s="10"/>
      <c r="M56" s="6"/>
      <c r="N56" s="4"/>
      <c r="P56" s="302"/>
      <c r="Q56" s="301"/>
      <c r="R56" s="301"/>
      <c r="S56" s="301"/>
      <c r="T56" s="301"/>
      <c r="U56" s="301"/>
      <c r="V56" s="301"/>
      <c r="W56" s="301"/>
      <c r="X56" s="301"/>
      <c r="Y56" s="301"/>
      <c r="Z56" s="301"/>
      <c r="AA56" s="301"/>
    </row>
    <row r="57" spans="1:27" ht="1.5" customHeight="1" x14ac:dyDescent="0.4">
      <c r="A57" s="8"/>
      <c r="B57" s="8"/>
      <c r="C57" s="8"/>
      <c r="D57" s="12"/>
      <c r="E57" s="12"/>
      <c r="F57" s="12"/>
      <c r="G57" s="12"/>
      <c r="H57" s="12"/>
      <c r="I57" s="8"/>
      <c r="J57" s="10"/>
      <c r="K57" s="8"/>
      <c r="L57" s="10"/>
      <c r="M57" s="6"/>
      <c r="N57" s="4"/>
      <c r="P57" s="303"/>
      <c r="Q57" s="303"/>
      <c r="R57" s="303"/>
      <c r="S57" s="303"/>
      <c r="T57" s="303"/>
      <c r="U57" s="303"/>
      <c r="V57" s="303"/>
      <c r="W57" s="303"/>
      <c r="X57" s="303"/>
      <c r="Y57" s="303"/>
      <c r="Z57" s="303"/>
      <c r="AA57" s="303"/>
    </row>
    <row r="58" spans="1:27" x14ac:dyDescent="0.4">
      <c r="A58" s="8"/>
      <c r="B58" s="8"/>
      <c r="C58" s="8"/>
      <c r="D58" s="12"/>
      <c r="E58" s="12"/>
      <c r="F58" s="12"/>
      <c r="G58" s="12"/>
      <c r="H58" s="12"/>
      <c r="I58" s="8"/>
      <c r="J58" s="10"/>
      <c r="K58" s="8"/>
      <c r="L58" s="10"/>
      <c r="M58" s="6"/>
      <c r="P58" s="7"/>
      <c r="Q58" s="12"/>
      <c r="R58" s="12"/>
      <c r="X58" s="12"/>
      <c r="Y58" s="12"/>
      <c r="Z58" s="12"/>
      <c r="AA58" s="12"/>
    </row>
    <row r="59" spans="1:27" x14ac:dyDescent="0.4">
      <c r="A59" s="8"/>
      <c r="B59" s="8"/>
      <c r="C59" s="8"/>
      <c r="D59" s="12"/>
      <c r="E59" s="12"/>
      <c r="F59" s="12"/>
      <c r="G59" s="12"/>
      <c r="H59" s="12"/>
      <c r="I59" s="8"/>
      <c r="J59" s="10"/>
      <c r="K59" s="8"/>
      <c r="L59" s="10"/>
      <c r="M59" s="6"/>
      <c r="P59" s="7"/>
      <c r="Q59" s="12"/>
      <c r="R59" s="12"/>
      <c r="X59" s="12"/>
      <c r="Y59" s="12"/>
      <c r="Z59" s="12"/>
      <c r="AA59" s="12"/>
    </row>
    <row r="60" spans="1:27" x14ac:dyDescent="0.4">
      <c r="A60" s="12"/>
      <c r="B60" s="23" t="s">
        <v>145</v>
      </c>
      <c r="C60" s="12"/>
      <c r="D60" s="23"/>
      <c r="E60" s="12"/>
      <c r="G60" s="12"/>
      <c r="H60" s="23" t="s">
        <v>145</v>
      </c>
      <c r="I60" s="12"/>
      <c r="J60" s="12"/>
      <c r="K60" s="12"/>
      <c r="L60" s="12"/>
      <c r="R60" s="216"/>
      <c r="S60" s="216"/>
      <c r="T60" s="216"/>
      <c r="U60" s="301"/>
      <c r="V60" s="301"/>
      <c r="W60" s="301"/>
      <c r="X60" s="301"/>
      <c r="Y60" s="301"/>
      <c r="Z60" s="301"/>
      <c r="AA60" s="301"/>
    </row>
    <row r="61" spans="1:27" ht="9" customHeight="1" x14ac:dyDescent="0.4">
      <c r="A61" s="307"/>
      <c r="B61" s="307"/>
      <c r="C61" s="307"/>
      <c r="D61" s="307"/>
      <c r="E61" s="307"/>
      <c r="F61" s="307"/>
      <c r="G61" s="307"/>
      <c r="H61" s="307"/>
      <c r="I61" s="307"/>
      <c r="J61" s="307"/>
      <c r="K61" s="307"/>
      <c r="L61" s="307"/>
      <c r="U61" s="301"/>
      <c r="V61" s="301"/>
      <c r="W61" s="301"/>
      <c r="Y61" s="303"/>
      <c r="Z61" s="303"/>
      <c r="AA61" s="303"/>
    </row>
    <row r="62" spans="1:27" x14ac:dyDescent="0.4">
      <c r="A62" s="8"/>
      <c r="B62" s="8"/>
      <c r="C62" s="8"/>
      <c r="D62" s="28"/>
      <c r="E62" s="28"/>
      <c r="F62" s="16"/>
      <c r="G62" s="28"/>
      <c r="H62" s="16"/>
      <c r="I62" s="8"/>
      <c r="J62" s="306" t="s">
        <v>315</v>
      </c>
      <c r="K62" s="306"/>
      <c r="L62" s="306"/>
      <c r="U62" s="204"/>
      <c r="V62" s="158"/>
      <c r="W62" s="204"/>
      <c r="X62" s="218"/>
      <c r="Y62" s="204"/>
      <c r="Z62" s="158"/>
      <c r="AA62" s="204"/>
    </row>
    <row r="63" spans="1:27" x14ac:dyDescent="0.4">
      <c r="A63" s="285" t="str">
        <f>A2</f>
        <v>THE BROOKER GROUP PUBLIC COMPANY LIMITED AND ITS SUBSIDIARIES</v>
      </c>
      <c r="B63" s="285"/>
      <c r="C63" s="285"/>
      <c r="D63" s="285"/>
      <c r="E63" s="285"/>
      <c r="F63" s="285"/>
      <c r="G63" s="285"/>
      <c r="H63" s="285"/>
      <c r="I63" s="285"/>
      <c r="J63" s="285"/>
      <c r="K63" s="285"/>
      <c r="L63" s="285"/>
      <c r="U63" s="9"/>
      <c r="V63" s="9"/>
      <c r="W63" s="204"/>
      <c r="AA63" s="204"/>
    </row>
    <row r="64" spans="1:27" x14ac:dyDescent="0.4">
      <c r="A64" s="285" t="s">
        <v>225</v>
      </c>
      <c r="B64" s="285"/>
      <c r="C64" s="285"/>
      <c r="D64" s="285"/>
      <c r="E64" s="285"/>
      <c r="F64" s="285"/>
      <c r="G64" s="285"/>
      <c r="H64" s="285"/>
      <c r="I64" s="285"/>
      <c r="J64" s="285"/>
      <c r="K64" s="285"/>
      <c r="L64" s="285"/>
      <c r="U64" s="212"/>
      <c r="V64" s="156"/>
      <c r="W64" s="212"/>
      <c r="X64" s="137"/>
      <c r="Y64" s="212"/>
      <c r="Z64" s="137"/>
      <c r="AA64" s="212"/>
    </row>
    <row r="65" spans="1:27" x14ac:dyDescent="0.4">
      <c r="A65" s="285" t="str">
        <f>A4</f>
        <v>FOR  THE THREE-MONTH PERIOD ENDED MARCH 31, 2025</v>
      </c>
      <c r="B65" s="285"/>
      <c r="C65" s="285"/>
      <c r="D65" s="285"/>
      <c r="E65" s="285"/>
      <c r="F65" s="285"/>
      <c r="G65" s="285"/>
      <c r="H65" s="285"/>
      <c r="I65" s="285"/>
      <c r="J65" s="285"/>
      <c r="K65" s="285"/>
      <c r="L65" s="285"/>
      <c r="U65" s="212"/>
      <c r="V65" s="156"/>
      <c r="W65" s="212"/>
      <c r="X65" s="137"/>
      <c r="Y65" s="212"/>
      <c r="Z65" s="137"/>
      <c r="AA65" s="212"/>
    </row>
    <row r="66" spans="1:27" x14ac:dyDescent="0.4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U66" s="212"/>
      <c r="V66" s="156"/>
      <c r="W66" s="212"/>
      <c r="X66" s="137"/>
      <c r="Y66" s="207"/>
      <c r="Z66" s="137"/>
      <c r="AA66" s="207"/>
    </row>
    <row r="67" spans="1:27" x14ac:dyDescent="0.4">
      <c r="A67" s="8"/>
      <c r="B67" s="8"/>
      <c r="C67" s="24"/>
      <c r="F67" s="304" t="s">
        <v>132</v>
      </c>
      <c r="G67" s="304"/>
      <c r="H67" s="304"/>
      <c r="I67" s="304"/>
      <c r="J67" s="304"/>
      <c r="K67" s="304"/>
      <c r="L67" s="304"/>
      <c r="U67" s="212"/>
      <c r="V67" s="156"/>
      <c r="W67" s="212"/>
      <c r="X67" s="137"/>
      <c r="Y67" s="207"/>
      <c r="Z67" s="137"/>
      <c r="AA67" s="207"/>
    </row>
    <row r="68" spans="1:27" x14ac:dyDescent="0.4">
      <c r="A68" s="8"/>
      <c r="B68" s="8"/>
      <c r="C68" s="8" t="s">
        <v>4</v>
      </c>
      <c r="F68" s="305" t="s">
        <v>204</v>
      </c>
      <c r="G68" s="305"/>
      <c r="H68" s="305"/>
      <c r="J68" s="305" t="s">
        <v>205</v>
      </c>
      <c r="K68" s="305"/>
      <c r="L68" s="305"/>
      <c r="U68" s="213"/>
      <c r="V68" s="156"/>
      <c r="W68" s="212"/>
      <c r="X68" s="137"/>
      <c r="Y68" s="206"/>
      <c r="Z68" s="137"/>
      <c r="AA68" s="207"/>
    </row>
    <row r="69" spans="1:27" x14ac:dyDescent="0.4">
      <c r="A69" s="8"/>
      <c r="B69" s="8"/>
      <c r="C69" s="8"/>
      <c r="F69" s="305" t="str">
        <f>+F7</f>
        <v>For the three-month period ended March 31</v>
      </c>
      <c r="G69" s="305"/>
      <c r="H69" s="305"/>
      <c r="I69" s="1"/>
      <c r="J69" s="305" t="str">
        <f>+J7</f>
        <v>For the three-month period ended March 31</v>
      </c>
      <c r="K69" s="305"/>
      <c r="L69" s="305"/>
      <c r="U69" s="212"/>
      <c r="V69" s="156"/>
      <c r="W69" s="212"/>
      <c r="X69" s="137"/>
      <c r="Y69" s="207"/>
      <c r="Z69" s="137"/>
      <c r="AA69" s="207"/>
    </row>
    <row r="70" spans="1:27" x14ac:dyDescent="0.4">
      <c r="A70" s="8"/>
      <c r="B70" s="8"/>
      <c r="C70" s="8"/>
      <c r="D70" s="270" t="s">
        <v>133</v>
      </c>
      <c r="F70" s="270">
        <f>+F8</f>
        <v>2025</v>
      </c>
      <c r="H70" s="270">
        <f>+H8</f>
        <v>2024</v>
      </c>
      <c r="J70" s="270">
        <f>+J8</f>
        <v>2025</v>
      </c>
      <c r="K70" s="269"/>
      <c r="L70" s="270">
        <f>+L8</f>
        <v>2024</v>
      </c>
      <c r="U70" s="212"/>
      <c r="V70" s="156"/>
      <c r="W70" s="212"/>
      <c r="X70" s="137"/>
      <c r="Y70" s="207"/>
      <c r="Z70" s="137"/>
      <c r="AA70" s="207"/>
    </row>
    <row r="71" spans="1:27" x14ac:dyDescent="0.4">
      <c r="A71" s="245"/>
      <c r="B71" s="8"/>
      <c r="C71" s="8"/>
      <c r="D71" s="12"/>
      <c r="E71" s="12"/>
      <c r="F71" s="9"/>
      <c r="G71" s="9"/>
      <c r="H71" s="7"/>
      <c r="I71" s="8"/>
      <c r="J71" s="10"/>
      <c r="K71" s="8"/>
      <c r="L71" s="7"/>
      <c r="U71" s="213"/>
      <c r="V71" s="156"/>
      <c r="W71" s="212"/>
      <c r="X71" s="137"/>
      <c r="Y71" s="206"/>
      <c r="Z71" s="137"/>
      <c r="AA71" s="207"/>
    </row>
    <row r="72" spans="1:27" x14ac:dyDescent="0.4">
      <c r="A72" s="8" t="s">
        <v>314</v>
      </c>
      <c r="B72" s="8"/>
      <c r="C72" s="8"/>
      <c r="D72" s="12"/>
      <c r="E72" s="12"/>
      <c r="F72" s="148">
        <f>+F41</f>
        <v>-331983917.38000005</v>
      </c>
      <c r="G72" s="156"/>
      <c r="H72" s="148">
        <f>+H41</f>
        <v>683720150.73000002</v>
      </c>
      <c r="I72" s="137"/>
      <c r="J72" s="148">
        <f>+J41</f>
        <v>-87603709.439999998</v>
      </c>
      <c r="K72" s="137"/>
      <c r="L72" s="148">
        <f>+L41</f>
        <v>95942861.770000011</v>
      </c>
      <c r="U72" s="206"/>
      <c r="V72" s="156"/>
      <c r="W72" s="207"/>
      <c r="X72" s="137"/>
      <c r="Y72" s="206"/>
      <c r="Z72" s="137"/>
      <c r="AA72" s="207"/>
    </row>
    <row r="73" spans="1:27" x14ac:dyDescent="0.4">
      <c r="A73" s="8"/>
      <c r="B73" s="8"/>
      <c r="C73" s="8"/>
      <c r="D73" s="12"/>
      <c r="E73" s="12"/>
      <c r="F73" s="141"/>
      <c r="G73" s="156"/>
      <c r="H73" s="141"/>
      <c r="I73" s="137"/>
      <c r="J73" s="141"/>
      <c r="K73" s="137"/>
      <c r="L73" s="141"/>
      <c r="U73" s="212"/>
      <c r="V73" s="156"/>
      <c r="W73" s="212"/>
      <c r="X73" s="137"/>
      <c r="Y73" s="212"/>
      <c r="Z73" s="137"/>
      <c r="AA73" s="212"/>
    </row>
    <row r="74" spans="1:27" x14ac:dyDescent="0.4">
      <c r="A74" s="8" t="s">
        <v>240</v>
      </c>
      <c r="B74" s="8"/>
      <c r="C74" s="8"/>
      <c r="D74" s="12"/>
      <c r="E74" s="12"/>
      <c r="F74" s="141"/>
      <c r="G74" s="156"/>
      <c r="H74" s="141"/>
      <c r="I74" s="137"/>
      <c r="J74" s="20"/>
      <c r="K74" s="137"/>
      <c r="L74" s="20"/>
      <c r="U74" s="212"/>
      <c r="V74" s="156"/>
      <c r="W74" s="212"/>
      <c r="X74" s="137"/>
      <c r="Y74" s="207"/>
      <c r="Z74" s="137"/>
      <c r="AA74" s="207"/>
    </row>
    <row r="75" spans="1:27" x14ac:dyDescent="0.4">
      <c r="A75" s="8" t="s">
        <v>288</v>
      </c>
      <c r="B75" s="251"/>
      <c r="C75" s="251"/>
      <c r="D75" s="12"/>
      <c r="E75" s="12"/>
      <c r="F75" s="22"/>
      <c r="G75" s="156"/>
      <c r="H75" s="3"/>
      <c r="J75" s="3"/>
      <c r="L75" s="3"/>
      <c r="U75" s="207"/>
      <c r="V75" s="156"/>
      <c r="W75" s="207"/>
      <c r="X75" s="137"/>
      <c r="Y75" s="207"/>
      <c r="Z75" s="137"/>
      <c r="AA75" s="207"/>
    </row>
    <row r="76" spans="1:27" x14ac:dyDescent="0.4">
      <c r="A76" s="251"/>
      <c r="B76" s="8" t="s">
        <v>289</v>
      </c>
      <c r="C76" s="251"/>
      <c r="D76" s="12"/>
      <c r="E76" s="12"/>
      <c r="F76" s="22"/>
      <c r="G76" s="156"/>
      <c r="H76" s="22"/>
      <c r="I76" s="137"/>
      <c r="J76" s="20"/>
      <c r="K76" s="137"/>
      <c r="L76" s="20"/>
      <c r="U76" s="146"/>
      <c r="V76" s="146"/>
      <c r="W76" s="146"/>
      <c r="X76" s="137"/>
      <c r="Y76" s="207"/>
      <c r="Z76" s="137"/>
      <c r="AA76" s="207"/>
    </row>
    <row r="77" spans="1:27" x14ac:dyDescent="0.4">
      <c r="A77" s="8"/>
      <c r="B77" s="8" t="s">
        <v>264</v>
      </c>
      <c r="C77" s="8"/>
      <c r="D77" s="12"/>
      <c r="E77" s="12"/>
      <c r="F77" s="22">
        <v>-445901.9</v>
      </c>
      <c r="G77" s="156"/>
      <c r="H77" s="212">
        <v>27139914.07</v>
      </c>
      <c r="I77" s="137"/>
      <c r="J77" s="20">
        <v>0</v>
      </c>
      <c r="K77" s="137"/>
      <c r="L77" s="20">
        <v>0</v>
      </c>
      <c r="P77" s="17"/>
      <c r="Q77" s="17"/>
      <c r="R77" s="17"/>
      <c r="S77" s="221"/>
      <c r="T77" s="239"/>
      <c r="U77" s="214"/>
      <c r="V77" s="240"/>
      <c r="W77" s="214"/>
      <c r="X77" s="214"/>
      <c r="Y77" s="214"/>
      <c r="Z77" s="240"/>
      <c r="AA77" s="214"/>
    </row>
    <row r="78" spans="1:27" x14ac:dyDescent="0.4">
      <c r="A78" s="8" t="s">
        <v>290</v>
      </c>
      <c r="B78" s="251"/>
      <c r="C78" s="8"/>
      <c r="D78" s="12"/>
      <c r="E78" s="12"/>
      <c r="F78" s="22"/>
      <c r="G78" s="156"/>
      <c r="H78" s="22"/>
      <c r="I78" s="137"/>
      <c r="J78" s="20"/>
      <c r="K78" s="137"/>
      <c r="L78" s="20"/>
      <c r="P78" s="17"/>
      <c r="Q78" s="17"/>
      <c r="R78" s="17"/>
      <c r="S78" s="221"/>
      <c r="T78" s="124"/>
      <c r="U78" s="212"/>
      <c r="V78" s="156"/>
      <c r="W78" s="212"/>
      <c r="X78" s="156"/>
      <c r="Y78" s="212"/>
      <c r="Z78" s="156"/>
      <c r="AA78" s="212"/>
    </row>
    <row r="79" spans="1:27" x14ac:dyDescent="0.4">
      <c r="A79" s="251"/>
      <c r="B79" s="8" t="s">
        <v>289</v>
      </c>
      <c r="C79" s="8"/>
      <c r="D79" s="12"/>
      <c r="E79" s="12"/>
      <c r="F79" s="22"/>
      <c r="G79" s="156"/>
      <c r="H79" s="22"/>
      <c r="I79" s="137"/>
      <c r="J79" s="20"/>
      <c r="K79" s="137"/>
      <c r="L79" s="20"/>
      <c r="P79" s="17"/>
      <c r="S79" s="221"/>
      <c r="T79" s="124"/>
      <c r="U79" s="212"/>
      <c r="V79" s="207"/>
      <c r="W79" s="212"/>
      <c r="X79" s="214"/>
      <c r="Y79" s="212"/>
      <c r="Z79" s="214"/>
      <c r="AA79" s="212"/>
    </row>
    <row r="80" spans="1:27" x14ac:dyDescent="0.4">
      <c r="A80" s="8"/>
      <c r="B80" s="8" t="s">
        <v>291</v>
      </c>
      <c r="C80" s="8"/>
      <c r="D80" s="12">
        <v>22</v>
      </c>
      <c r="E80" s="12"/>
      <c r="F80" s="22">
        <v>-3457443</v>
      </c>
      <c r="G80" s="156"/>
      <c r="H80" s="22">
        <v>0</v>
      </c>
      <c r="I80" s="137"/>
      <c r="J80" s="20">
        <v>-3444178</v>
      </c>
      <c r="K80" s="137"/>
      <c r="L80" s="20">
        <v>0</v>
      </c>
      <c r="P80" s="241"/>
      <c r="Q80" s="241"/>
      <c r="R80" s="241"/>
      <c r="S80" s="221"/>
      <c r="T80" s="124"/>
      <c r="U80" s="212"/>
      <c r="V80" s="240"/>
      <c r="W80" s="212"/>
      <c r="X80" s="240"/>
      <c r="Y80" s="212"/>
      <c r="Z80" s="240"/>
      <c r="AA80" s="212"/>
    </row>
    <row r="81" spans="1:27" x14ac:dyDescent="0.4">
      <c r="A81" s="8"/>
      <c r="B81" s="8" t="s">
        <v>292</v>
      </c>
      <c r="C81" s="8"/>
      <c r="D81" s="12"/>
      <c r="E81" s="12"/>
      <c r="F81" s="148">
        <v>691488.6</v>
      </c>
      <c r="G81" s="156"/>
      <c r="H81" s="148">
        <v>0</v>
      </c>
      <c r="I81" s="137"/>
      <c r="J81" s="138">
        <v>688835.6</v>
      </c>
      <c r="K81" s="137"/>
      <c r="L81" s="138">
        <v>0</v>
      </c>
      <c r="U81" s="156"/>
      <c r="V81" s="156"/>
      <c r="W81" s="156"/>
      <c r="X81" s="137"/>
      <c r="Y81" s="207"/>
      <c r="Z81" s="137"/>
      <c r="AA81" s="207"/>
    </row>
    <row r="82" spans="1:27" x14ac:dyDescent="0.4">
      <c r="A82" s="8" t="s">
        <v>318</v>
      </c>
      <c r="B82" s="8"/>
      <c r="C82" s="8"/>
      <c r="D82" s="12"/>
      <c r="E82" s="12"/>
      <c r="F82" s="149">
        <f>SUM(F75:F81)</f>
        <v>-3211856.3</v>
      </c>
      <c r="G82" s="156"/>
      <c r="H82" s="149">
        <f>SUM(H76:H81)</f>
        <v>27139914.07</v>
      </c>
      <c r="I82" s="137"/>
      <c r="J82" s="149">
        <f>SUM(J76:J81)</f>
        <v>-2755342.4</v>
      </c>
      <c r="K82" s="137"/>
      <c r="L82" s="149">
        <f>SUM(L76:L81)</f>
        <v>0</v>
      </c>
      <c r="U82" s="156"/>
      <c r="V82" s="156"/>
      <c r="W82" s="156"/>
      <c r="X82" s="137"/>
      <c r="Y82" s="207"/>
      <c r="Z82" s="137"/>
      <c r="AA82" s="207"/>
    </row>
    <row r="83" spans="1:27" x14ac:dyDescent="0.4">
      <c r="A83" s="8"/>
      <c r="B83" s="8"/>
      <c r="C83" s="8"/>
      <c r="D83" s="12"/>
      <c r="E83" s="12"/>
      <c r="F83" s="141"/>
      <c r="G83" s="156"/>
      <c r="H83" s="141"/>
      <c r="I83" s="137"/>
      <c r="J83" s="13"/>
      <c r="K83" s="137"/>
      <c r="L83" s="13"/>
      <c r="U83" s="9"/>
      <c r="V83" s="9"/>
      <c r="W83" s="9"/>
      <c r="Z83" s="14"/>
    </row>
    <row r="84" spans="1:27" ht="18.75" thickBot="1" x14ac:dyDescent="0.45">
      <c r="A84" s="8" t="s">
        <v>313</v>
      </c>
      <c r="B84" s="8"/>
      <c r="C84" s="8"/>
      <c r="D84" s="12"/>
      <c r="E84" s="12"/>
      <c r="F84" s="147">
        <f>+F72+F82</f>
        <v>-335195773.68000007</v>
      </c>
      <c r="G84" s="156"/>
      <c r="H84" s="147">
        <f>+H72+H82</f>
        <v>710860064.80000007</v>
      </c>
      <c r="I84" s="137"/>
      <c r="J84" s="147">
        <f>+J72+J82</f>
        <v>-90359051.840000004</v>
      </c>
      <c r="K84" s="137"/>
      <c r="L84" s="147">
        <f>+L72+L82</f>
        <v>95942861.770000011</v>
      </c>
      <c r="U84" s="9"/>
      <c r="V84" s="9"/>
      <c r="W84" s="9"/>
      <c r="Z84" s="14"/>
    </row>
    <row r="85" spans="1:27" ht="18.75" thickTop="1" x14ac:dyDescent="0.4">
      <c r="A85" s="8"/>
      <c r="B85" s="8"/>
      <c r="C85" s="8"/>
      <c r="D85" s="12"/>
      <c r="E85" s="12"/>
      <c r="F85" s="146"/>
      <c r="G85" s="146"/>
      <c r="H85" s="146"/>
      <c r="I85" s="137"/>
      <c r="J85" s="13"/>
      <c r="K85" s="137"/>
      <c r="L85" s="13"/>
      <c r="U85" s="9"/>
      <c r="V85" s="9"/>
      <c r="W85" s="9"/>
      <c r="Z85" s="14"/>
    </row>
    <row r="86" spans="1:27" x14ac:dyDescent="0.4">
      <c r="A86" s="17" t="s">
        <v>241</v>
      </c>
      <c r="B86" s="17"/>
      <c r="C86" s="17"/>
      <c r="D86" s="221"/>
      <c r="E86" s="244"/>
      <c r="F86" s="243"/>
      <c r="G86" s="240"/>
      <c r="H86" s="243"/>
      <c r="I86" s="242"/>
      <c r="J86" s="243"/>
      <c r="K86" s="240"/>
      <c r="L86" s="240"/>
      <c r="U86" s="9"/>
      <c r="V86" s="9"/>
      <c r="W86" s="9"/>
      <c r="Z86" s="14"/>
    </row>
    <row r="87" spans="1:27" x14ac:dyDescent="0.4">
      <c r="A87" s="17"/>
      <c r="B87" s="17" t="s">
        <v>239</v>
      </c>
      <c r="C87" s="17"/>
      <c r="D87" s="221"/>
      <c r="E87" s="124">
        <v>852812933</v>
      </c>
      <c r="F87" s="22">
        <f>+F84-F88</f>
        <v>-335055864.10000008</v>
      </c>
      <c r="G87" s="156"/>
      <c r="H87" s="22">
        <f>+H84-H88</f>
        <v>711009975.54000008</v>
      </c>
      <c r="I87" s="156"/>
      <c r="J87" s="22">
        <f>+J84-J88</f>
        <v>-90359051.840000004</v>
      </c>
      <c r="K87" s="156"/>
      <c r="L87" s="22">
        <f>+L84-L88</f>
        <v>95942861.770000011</v>
      </c>
      <c r="U87" s="9"/>
      <c r="V87" s="9"/>
      <c r="W87" s="9"/>
      <c r="Z87" s="14"/>
    </row>
    <row r="88" spans="1:27" x14ac:dyDescent="0.4">
      <c r="A88" s="17"/>
      <c r="B88" s="8" t="s">
        <v>232</v>
      </c>
      <c r="C88" s="8"/>
      <c r="D88" s="221"/>
      <c r="E88" s="124">
        <v>-1541152</v>
      </c>
      <c r="F88" s="22">
        <f>+F45</f>
        <v>-139909.57999999999</v>
      </c>
      <c r="G88" s="20"/>
      <c r="H88" s="22">
        <f>+H45</f>
        <v>-149910.74</v>
      </c>
      <c r="I88" s="242"/>
      <c r="J88" s="22">
        <f>+J45</f>
        <v>0</v>
      </c>
      <c r="K88" s="242"/>
      <c r="L88" s="22">
        <f>+L45</f>
        <v>0</v>
      </c>
      <c r="U88" s="9"/>
      <c r="V88" s="9"/>
      <c r="W88" s="9"/>
      <c r="Z88" s="14"/>
    </row>
    <row r="89" spans="1:27" ht="18.75" thickBot="1" x14ac:dyDescent="0.45">
      <c r="A89" s="241"/>
      <c r="B89" s="241"/>
      <c r="C89" s="241"/>
      <c r="D89" s="221"/>
      <c r="E89" s="124"/>
      <c r="F89" s="150">
        <f>SUM(F87:F88)</f>
        <v>-335195773.68000007</v>
      </c>
      <c r="G89" s="240"/>
      <c r="H89" s="276">
        <f>SUM(H87:H88)</f>
        <v>710860064.80000007</v>
      </c>
      <c r="I89" s="240"/>
      <c r="J89" s="150">
        <f>SUM(J87:J88)</f>
        <v>-90359051.840000004</v>
      </c>
      <c r="K89" s="240"/>
      <c r="L89" s="276">
        <f>SUM(L87:L88)</f>
        <v>95942861.770000011</v>
      </c>
      <c r="U89" s="9"/>
      <c r="V89" s="9"/>
      <c r="W89" s="9"/>
      <c r="Z89" s="14"/>
    </row>
    <row r="90" spans="1:27" ht="18.75" thickTop="1" x14ac:dyDescent="0.4">
      <c r="A90" s="241"/>
      <c r="B90" s="241"/>
      <c r="C90" s="241"/>
      <c r="D90" s="221"/>
      <c r="E90" s="124"/>
      <c r="F90" s="22"/>
      <c r="G90" s="240"/>
      <c r="H90" s="156"/>
      <c r="I90" s="240"/>
      <c r="J90" s="156"/>
      <c r="K90" s="240"/>
      <c r="L90" s="156"/>
      <c r="U90" s="9"/>
      <c r="V90" s="9"/>
      <c r="W90" s="9"/>
      <c r="Z90" s="14"/>
    </row>
    <row r="91" spans="1:27" x14ac:dyDescent="0.4">
      <c r="A91" s="14" t="str">
        <f>+A56</f>
        <v>The accompanying interim notes to financial statements are an integral part of these interim financial statements.</v>
      </c>
      <c r="B91" s="241"/>
      <c r="C91" s="241"/>
      <c r="D91" s="221"/>
      <c r="E91" s="124"/>
      <c r="F91" s="22"/>
      <c r="G91" s="240"/>
      <c r="H91" s="156"/>
      <c r="I91" s="240"/>
      <c r="J91" s="156"/>
      <c r="K91" s="240"/>
      <c r="L91" s="156"/>
      <c r="U91" s="9"/>
      <c r="V91" s="9"/>
      <c r="W91" s="9"/>
      <c r="Z91" s="14"/>
    </row>
    <row r="92" spans="1:27" x14ac:dyDescent="0.4">
      <c r="A92" s="241"/>
      <c r="B92" s="241"/>
      <c r="C92" s="241"/>
      <c r="D92" s="221"/>
      <c r="E92" s="124"/>
      <c r="F92" s="22"/>
      <c r="G92" s="240"/>
      <c r="H92" s="156"/>
      <c r="I92" s="240"/>
      <c r="J92" s="156"/>
      <c r="K92" s="240"/>
      <c r="L92" s="156"/>
      <c r="U92" s="9"/>
      <c r="V92" s="9"/>
      <c r="W92" s="9"/>
      <c r="Z92" s="14"/>
    </row>
    <row r="93" spans="1:27" x14ac:dyDescent="0.4">
      <c r="A93" s="241"/>
      <c r="B93" s="241"/>
      <c r="C93" s="241"/>
      <c r="D93" s="221"/>
      <c r="E93" s="124"/>
      <c r="F93" s="22"/>
      <c r="G93" s="240"/>
      <c r="H93" s="156"/>
      <c r="I93" s="240"/>
      <c r="J93" s="156"/>
      <c r="K93" s="240"/>
      <c r="L93" s="156"/>
      <c r="U93" s="9"/>
      <c r="V93" s="9"/>
      <c r="W93" s="9"/>
      <c r="Z93" s="14"/>
    </row>
    <row r="94" spans="1:27" x14ac:dyDescent="0.4">
      <c r="A94" s="241"/>
      <c r="B94" s="241"/>
      <c r="C94" s="241"/>
      <c r="D94" s="221"/>
      <c r="E94" s="124"/>
      <c r="F94" s="22"/>
      <c r="G94" s="240"/>
      <c r="H94" s="156"/>
      <c r="I94" s="240"/>
      <c r="J94" s="156"/>
      <c r="K94" s="240"/>
      <c r="L94" s="156"/>
      <c r="U94" s="9"/>
      <c r="V94" s="9"/>
      <c r="W94" s="9"/>
      <c r="Z94" s="14"/>
    </row>
    <row r="95" spans="1:27" x14ac:dyDescent="0.4">
      <c r="A95" s="241"/>
      <c r="B95" s="241"/>
      <c r="C95" s="241"/>
      <c r="D95" s="221"/>
      <c r="E95" s="124"/>
      <c r="F95" s="22"/>
      <c r="G95" s="240"/>
      <c r="H95" s="156"/>
      <c r="I95" s="240"/>
      <c r="J95" s="156"/>
      <c r="K95" s="240"/>
      <c r="L95" s="156"/>
      <c r="S95" s="159"/>
      <c r="U95" s="9"/>
      <c r="V95" s="9"/>
      <c r="W95" s="9"/>
    </row>
    <row r="96" spans="1:27" x14ac:dyDescent="0.4">
      <c r="A96" s="241"/>
      <c r="B96" s="241"/>
      <c r="C96" s="241"/>
      <c r="D96" s="221"/>
      <c r="E96" s="124"/>
      <c r="F96" s="22"/>
      <c r="G96" s="240"/>
      <c r="H96" s="156"/>
      <c r="I96" s="240"/>
      <c r="J96" s="156"/>
      <c r="K96" s="240"/>
      <c r="L96" s="156"/>
    </row>
    <row r="97" spans="1:27" x14ac:dyDescent="0.4">
      <c r="A97" s="241"/>
      <c r="B97" s="241"/>
      <c r="C97" s="241"/>
      <c r="D97" s="221"/>
      <c r="E97" s="124"/>
      <c r="F97" s="22"/>
      <c r="G97" s="240"/>
      <c r="H97" s="156"/>
      <c r="I97" s="240"/>
      <c r="J97" s="156"/>
      <c r="K97" s="240"/>
      <c r="L97" s="156"/>
      <c r="U97" s="9"/>
      <c r="V97" s="9"/>
      <c r="W97" s="9"/>
    </row>
    <row r="98" spans="1:27" x14ac:dyDescent="0.4">
      <c r="A98" s="241"/>
      <c r="B98" s="241"/>
      <c r="C98" s="241"/>
      <c r="D98" s="221"/>
      <c r="E98" s="124"/>
      <c r="F98" s="22"/>
      <c r="G98" s="240"/>
      <c r="H98" s="156"/>
      <c r="I98" s="240"/>
      <c r="J98" s="156"/>
      <c r="K98" s="240"/>
      <c r="L98" s="156"/>
      <c r="Q98" s="17"/>
      <c r="S98" s="223"/>
      <c r="U98" s="202"/>
      <c r="V98" s="9"/>
      <c r="W98" s="202"/>
      <c r="X98" s="17"/>
      <c r="Z98" s="17"/>
    </row>
    <row r="99" spans="1:27" x14ac:dyDescent="0.4">
      <c r="A99" s="241"/>
      <c r="B99" s="241"/>
      <c r="C99" s="241"/>
      <c r="D99" s="221"/>
      <c r="E99" s="124"/>
      <c r="F99" s="22"/>
      <c r="G99" s="240"/>
      <c r="H99" s="156"/>
      <c r="I99" s="240"/>
      <c r="J99" s="156"/>
      <c r="K99" s="240"/>
      <c r="L99" s="156"/>
    </row>
    <row r="100" spans="1:27" x14ac:dyDescent="0.4">
      <c r="A100" s="241"/>
      <c r="B100" s="241"/>
      <c r="C100" s="241"/>
      <c r="D100" s="221"/>
      <c r="E100" s="124"/>
      <c r="F100" s="22"/>
      <c r="G100" s="240"/>
      <c r="H100" s="156"/>
      <c r="I100" s="240"/>
      <c r="J100" s="156"/>
      <c r="K100" s="240"/>
      <c r="L100" s="156"/>
    </row>
    <row r="101" spans="1:27" x14ac:dyDescent="0.4">
      <c r="A101" s="241"/>
      <c r="B101" s="241"/>
      <c r="C101" s="241"/>
      <c r="D101" s="221"/>
      <c r="E101" s="124"/>
      <c r="F101" s="22"/>
      <c r="G101" s="240"/>
      <c r="H101" s="156"/>
      <c r="I101" s="240"/>
      <c r="J101" s="156"/>
      <c r="K101" s="240"/>
      <c r="L101" s="156"/>
      <c r="P101" s="12"/>
      <c r="Q101" s="23"/>
      <c r="R101" s="12"/>
      <c r="S101" s="23"/>
      <c r="U101" s="23"/>
      <c r="X101" s="12"/>
      <c r="Y101" s="12"/>
      <c r="Z101" s="12"/>
      <c r="AA101" s="12"/>
    </row>
    <row r="102" spans="1:27" x14ac:dyDescent="0.4">
      <c r="A102" s="241"/>
      <c r="B102" s="241"/>
      <c r="C102" s="241"/>
      <c r="D102" s="221"/>
      <c r="E102" s="124"/>
      <c r="F102" s="22"/>
      <c r="G102" s="240"/>
      <c r="H102" s="156"/>
      <c r="I102" s="240"/>
      <c r="J102" s="156"/>
      <c r="K102" s="240"/>
      <c r="L102" s="156"/>
      <c r="P102" s="12"/>
      <c r="Q102" s="23"/>
      <c r="R102" s="12"/>
      <c r="S102" s="23"/>
      <c r="U102" s="23"/>
      <c r="X102" s="12"/>
      <c r="Y102" s="12"/>
      <c r="Z102" s="12"/>
      <c r="AA102" s="12"/>
    </row>
    <row r="103" spans="1:27" x14ac:dyDescent="0.4">
      <c r="A103" s="241"/>
      <c r="B103" s="241"/>
      <c r="C103" s="241"/>
      <c r="D103" s="221"/>
      <c r="E103" s="124"/>
      <c r="F103" s="22"/>
      <c r="G103" s="240"/>
      <c r="H103" s="156"/>
      <c r="I103" s="240"/>
      <c r="J103" s="156"/>
      <c r="K103" s="240"/>
      <c r="L103" s="156"/>
      <c r="P103" s="301"/>
      <c r="Q103" s="301"/>
      <c r="R103" s="301"/>
      <c r="S103" s="301"/>
      <c r="T103" s="301"/>
      <c r="U103" s="301"/>
      <c r="V103" s="301"/>
      <c r="W103" s="301"/>
      <c r="X103" s="301"/>
      <c r="Y103" s="301"/>
      <c r="Z103" s="301"/>
      <c r="AA103" s="301"/>
    </row>
    <row r="104" spans="1:27" x14ac:dyDescent="0.4">
      <c r="A104" s="241"/>
      <c r="B104" s="241"/>
      <c r="C104" s="241"/>
      <c r="D104" s="221"/>
      <c r="E104" s="124"/>
      <c r="F104" s="22"/>
      <c r="G104" s="240"/>
      <c r="H104" s="156"/>
      <c r="I104" s="240"/>
      <c r="J104" s="156"/>
      <c r="K104" s="240"/>
      <c r="L104" s="156"/>
    </row>
    <row r="105" spans="1:27" x14ac:dyDescent="0.4">
      <c r="A105" s="241"/>
      <c r="B105" s="241"/>
      <c r="C105" s="241"/>
      <c r="D105" s="221"/>
      <c r="E105" s="124"/>
      <c r="F105" s="22"/>
      <c r="G105" s="240"/>
      <c r="H105" s="156"/>
      <c r="I105" s="240"/>
      <c r="J105" s="156"/>
      <c r="K105" s="240"/>
      <c r="L105" s="156"/>
    </row>
    <row r="106" spans="1:27" x14ac:dyDescent="0.4">
      <c r="A106" s="241"/>
      <c r="B106" s="241"/>
      <c r="C106" s="241"/>
      <c r="D106" s="221"/>
      <c r="E106" s="124"/>
      <c r="F106" s="22"/>
      <c r="G106" s="240"/>
      <c r="H106" s="156"/>
      <c r="I106" s="240"/>
      <c r="J106" s="156"/>
      <c r="K106" s="240"/>
      <c r="L106" s="156"/>
    </row>
    <row r="107" spans="1:27" x14ac:dyDescent="0.4">
      <c r="A107" s="241"/>
      <c r="B107" s="241"/>
      <c r="C107" s="241"/>
      <c r="D107" s="221"/>
      <c r="E107" s="124"/>
      <c r="F107" s="22"/>
      <c r="G107" s="240"/>
      <c r="H107" s="156"/>
      <c r="I107" s="240"/>
      <c r="J107" s="156"/>
      <c r="K107" s="240"/>
      <c r="L107" s="156"/>
    </row>
    <row r="108" spans="1:27" x14ac:dyDescent="0.4">
      <c r="A108" s="241"/>
      <c r="B108" s="241"/>
      <c r="C108" s="241"/>
      <c r="D108" s="221"/>
      <c r="E108" s="124"/>
      <c r="F108" s="22"/>
      <c r="G108" s="240"/>
      <c r="H108" s="156"/>
      <c r="I108" s="240"/>
      <c r="J108" s="156"/>
      <c r="K108" s="240"/>
      <c r="L108" s="156"/>
    </row>
    <row r="109" spans="1:27" x14ac:dyDescent="0.4">
      <c r="A109" s="241"/>
      <c r="B109" s="241"/>
      <c r="C109" s="241"/>
      <c r="D109" s="221"/>
      <c r="E109" s="124"/>
      <c r="F109" s="22"/>
      <c r="G109" s="240"/>
      <c r="H109" s="156"/>
      <c r="I109" s="240"/>
      <c r="J109" s="156"/>
      <c r="K109" s="240"/>
      <c r="L109" s="156"/>
    </row>
    <row r="110" spans="1:27" x14ac:dyDescent="0.4">
      <c r="A110" s="241"/>
      <c r="B110" s="241"/>
      <c r="C110" s="241"/>
      <c r="D110" s="221"/>
      <c r="E110" s="124"/>
      <c r="F110" s="22"/>
      <c r="G110" s="124"/>
      <c r="H110" s="9"/>
      <c r="I110" s="124"/>
      <c r="J110" s="9"/>
      <c r="K110" s="124"/>
      <c r="L110" s="9"/>
    </row>
    <row r="111" spans="1:27" x14ac:dyDescent="0.4">
      <c r="A111" s="8"/>
      <c r="B111" s="8"/>
      <c r="C111" s="8"/>
      <c r="D111" s="12"/>
      <c r="E111" s="12"/>
      <c r="F111" s="12"/>
      <c r="G111" s="12"/>
      <c r="H111" s="12"/>
      <c r="I111" s="8"/>
      <c r="J111" s="10"/>
      <c r="K111" s="8"/>
      <c r="L111" s="10"/>
    </row>
    <row r="112" spans="1:27" x14ac:dyDescent="0.4">
      <c r="A112" s="12"/>
      <c r="B112" s="23" t="s">
        <v>145</v>
      </c>
      <c r="C112" s="12"/>
      <c r="D112" s="23"/>
      <c r="E112" s="12"/>
      <c r="G112" s="12"/>
      <c r="H112" s="23" t="s">
        <v>145</v>
      </c>
      <c r="I112" s="12"/>
      <c r="J112" s="12"/>
      <c r="K112" s="12"/>
      <c r="L112" s="12"/>
    </row>
    <row r="113" spans="1:12" ht="7.5" customHeight="1" x14ac:dyDescent="0.4">
      <c r="A113" s="12"/>
      <c r="B113" s="23"/>
      <c r="C113" s="12"/>
      <c r="D113" s="23"/>
      <c r="E113" s="12"/>
      <c r="F113" s="268"/>
      <c r="G113" s="12"/>
      <c r="H113" s="23"/>
      <c r="I113" s="12"/>
      <c r="J113" s="12"/>
      <c r="K113" s="12"/>
      <c r="L113" s="12"/>
    </row>
    <row r="114" spans="1:12" x14ac:dyDescent="0.4">
      <c r="A114" s="301"/>
      <c r="B114" s="301"/>
      <c r="C114" s="301"/>
      <c r="D114" s="301"/>
      <c r="E114" s="301"/>
      <c r="F114" s="301"/>
      <c r="G114" s="301"/>
      <c r="H114" s="301"/>
      <c r="I114" s="301"/>
      <c r="J114" s="301"/>
      <c r="K114" s="301"/>
      <c r="L114" s="301"/>
    </row>
  </sheetData>
  <mergeCells count="34">
    <mergeCell ref="J1:L1"/>
    <mergeCell ref="J62:L62"/>
    <mergeCell ref="F7:H7"/>
    <mergeCell ref="J7:L7"/>
    <mergeCell ref="F69:H69"/>
    <mergeCell ref="J69:L69"/>
    <mergeCell ref="A63:L63"/>
    <mergeCell ref="A2:L2"/>
    <mergeCell ref="A3:L3"/>
    <mergeCell ref="A4:L4"/>
    <mergeCell ref="A61:L61"/>
    <mergeCell ref="F6:H6"/>
    <mergeCell ref="J6:L6"/>
    <mergeCell ref="F5:L5"/>
    <mergeCell ref="A114:L114"/>
    <mergeCell ref="A64:L64"/>
    <mergeCell ref="A65:L65"/>
    <mergeCell ref="F67:L67"/>
    <mergeCell ref="F68:H68"/>
    <mergeCell ref="J68:L68"/>
    <mergeCell ref="P2:AA2"/>
    <mergeCell ref="P3:AA3"/>
    <mergeCell ref="P4:AA4"/>
    <mergeCell ref="U5:AA5"/>
    <mergeCell ref="U6:W6"/>
    <mergeCell ref="Y6:AA6"/>
    <mergeCell ref="U7:W7"/>
    <mergeCell ref="Y7:AA7"/>
    <mergeCell ref="P56:AA56"/>
    <mergeCell ref="P57:AA57"/>
    <mergeCell ref="P103:AA103"/>
    <mergeCell ref="U60:AA60"/>
    <mergeCell ref="U61:W61"/>
    <mergeCell ref="Y61:AA61"/>
  </mergeCells>
  <phoneticPr fontId="0" type="noConversion"/>
  <conditionalFormatting sqref="G45 I45:L45 F86:L86 E86:E110 G88:G110 I88:I110 K88:K110">
    <cfRule type="expression" priority="6" stopIfTrue="1">
      <formula>"if(E11&gt;0,#,##0;(#,##0),"-")"</formula>
    </cfRule>
  </conditionalFormatting>
  <conditionalFormatting sqref="U39:AA39 T39:T42 X41:Y41 AA41 V41:V42 Z41:Z42 X42 T77:T80 V79:V80 X79:X80 Z79:Z80">
    <cfRule type="expression" priority="2" stopIfTrue="1">
      <formula>"if(E11&gt;0,#,##0;(#,##0),"-")"</formula>
    </cfRule>
  </conditionalFormatting>
  <conditionalFormatting sqref="U77:AA77">
    <cfRule type="expression" priority="1" stopIfTrue="1">
      <formula>"if(E11&gt;0,#,##0;(#,##0),"-")"</formula>
    </cfRule>
  </conditionalFormatting>
  <pageMargins left="0.62992125984251968" right="0.23622047244094491" top="0.35433070866141736" bottom="0.35433070866141736" header="0.31496062992125984" footer="0.31496062992125984"/>
  <pageSetup paperSize="9" scale="90" firstPageNumber="6" orientation="portrait" useFirstPageNumber="1" r:id="rId1"/>
  <headerFooter alignWithMargins="0">
    <oddFooter>&amp;C&amp;P</oddFooter>
  </headerFooter>
  <rowBreaks count="1" manualBreakCount="1">
    <brk id="60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157"/>
  <sheetViews>
    <sheetView view="pageBreakPreview" topLeftCell="A23" zoomScale="110" zoomScaleNormal="120" zoomScaleSheetLayoutView="110" workbookViewId="0">
      <selection activeCell="M33" sqref="M33"/>
    </sheetView>
  </sheetViews>
  <sheetFormatPr defaultColWidth="9.140625" defaultRowHeight="16.5" customHeight="1" x14ac:dyDescent="0.4"/>
  <cols>
    <col min="1" max="3" width="2.7109375" style="17" customWidth="1"/>
    <col min="4" max="4" width="48" style="17" bestFit="1" customWidth="1"/>
    <col min="5" max="5" width="6" style="12" customWidth="1"/>
    <col min="6" max="6" width="1.28515625" style="12" customWidth="1"/>
    <col min="7" max="7" width="13.85546875" style="17" customWidth="1"/>
    <col min="8" max="8" width="0.7109375" style="17" customWidth="1"/>
    <col min="9" max="9" width="13.7109375" style="17" customWidth="1"/>
    <col min="10" max="10" width="0.5703125" style="17" customWidth="1"/>
    <col min="11" max="11" width="13.85546875" style="282" customWidth="1"/>
    <col min="12" max="12" width="0.7109375" style="17" customWidth="1"/>
    <col min="13" max="13" width="13.85546875" style="17" customWidth="1"/>
    <col min="14" max="14" width="1.7109375" style="17" customWidth="1"/>
    <col min="15" max="15" width="12.7109375" style="17" customWidth="1"/>
    <col min="16" max="18" width="2.7109375" style="17" customWidth="1"/>
    <col min="19" max="19" width="44.140625" style="17" customWidth="1"/>
    <col min="20" max="20" width="6.42578125" style="12" customWidth="1"/>
    <col min="21" max="21" width="0.7109375" style="12" customWidth="1"/>
    <col min="22" max="22" width="13.5703125" style="17" customWidth="1"/>
    <col min="23" max="23" width="0.7109375" style="17" customWidth="1"/>
    <col min="24" max="24" width="14.7109375" style="17" customWidth="1"/>
    <col min="25" max="25" width="0.5703125" style="17" customWidth="1"/>
    <col min="26" max="26" width="13.42578125" style="17" customWidth="1"/>
    <col min="27" max="27" width="0.7109375" style="17" customWidth="1"/>
    <col min="28" max="28" width="14" style="17" customWidth="1"/>
    <col min="29" max="16384" width="9.140625" style="17"/>
  </cols>
  <sheetData>
    <row r="1" spans="1:28" ht="16.5" customHeight="1" x14ac:dyDescent="0.4">
      <c r="K1" s="308" t="s">
        <v>315</v>
      </c>
      <c r="L1" s="308"/>
      <c r="M1" s="308"/>
      <c r="P1" s="14"/>
      <c r="Q1" s="14"/>
      <c r="R1" s="14"/>
      <c r="S1" s="14"/>
      <c r="U1" s="157"/>
      <c r="V1" s="14"/>
      <c r="W1" s="14"/>
      <c r="X1" s="14"/>
      <c r="Y1" s="14"/>
      <c r="Z1" s="302"/>
      <c r="AA1" s="302"/>
      <c r="AB1" s="302"/>
    </row>
    <row r="2" spans="1:28" ht="16.5" customHeight="1" x14ac:dyDescent="0.4">
      <c r="A2" s="285" t="s">
        <v>131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P2" s="303"/>
      <c r="Q2" s="303"/>
      <c r="R2" s="303"/>
      <c r="S2" s="303"/>
      <c r="T2" s="303"/>
      <c r="U2" s="303"/>
      <c r="V2" s="303"/>
      <c r="W2" s="303"/>
      <c r="X2" s="303"/>
      <c r="Y2" s="303"/>
      <c r="Z2" s="303"/>
      <c r="AA2" s="303"/>
      <c r="AB2" s="303"/>
    </row>
    <row r="3" spans="1:28" ht="16.5" customHeight="1" x14ac:dyDescent="0.4">
      <c r="A3" s="302" t="s">
        <v>178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P3" s="302"/>
      <c r="Q3" s="302"/>
      <c r="R3" s="302"/>
      <c r="S3" s="302"/>
      <c r="T3" s="302"/>
      <c r="U3" s="302"/>
      <c r="V3" s="302"/>
      <c r="W3" s="302"/>
      <c r="X3" s="302"/>
      <c r="Y3" s="302"/>
      <c r="Z3" s="302"/>
      <c r="AA3" s="302"/>
      <c r="AB3" s="302"/>
    </row>
    <row r="4" spans="1:28" ht="16.5" customHeight="1" x14ac:dyDescent="0.4">
      <c r="A4" s="302" t="s">
        <v>362</v>
      </c>
      <c r="B4" s="302"/>
      <c r="C4" s="302"/>
      <c r="D4" s="302"/>
      <c r="E4" s="302"/>
      <c r="F4" s="302"/>
      <c r="G4" s="302"/>
      <c r="H4" s="302"/>
      <c r="I4" s="302"/>
      <c r="J4" s="302"/>
      <c r="K4" s="302"/>
      <c r="L4" s="302"/>
      <c r="M4" s="302"/>
      <c r="P4" s="302"/>
      <c r="Q4" s="302"/>
      <c r="R4" s="302"/>
      <c r="S4" s="302"/>
      <c r="T4" s="302"/>
      <c r="U4" s="302"/>
      <c r="V4" s="302"/>
      <c r="W4" s="302"/>
      <c r="X4" s="302"/>
      <c r="Y4" s="302"/>
      <c r="Z4" s="302"/>
      <c r="AA4" s="302"/>
      <c r="AB4" s="302"/>
    </row>
    <row r="5" spans="1:28" ht="16.5" customHeight="1" x14ac:dyDescent="0.4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</row>
    <row r="6" spans="1:28" ht="16.5" customHeight="1" x14ac:dyDescent="0.4">
      <c r="A6" s="7"/>
      <c r="B6" s="7"/>
      <c r="C6" s="7"/>
      <c r="D6" s="7"/>
      <c r="E6" s="278"/>
      <c r="F6" s="278"/>
      <c r="G6" s="311" t="s">
        <v>165</v>
      </c>
      <c r="H6" s="311"/>
      <c r="I6" s="311"/>
      <c r="J6" s="311"/>
      <c r="K6" s="311"/>
      <c r="L6" s="311"/>
      <c r="M6" s="311"/>
      <c r="P6" s="7"/>
      <c r="Q6" s="7"/>
      <c r="R6" s="7"/>
      <c r="S6" s="7"/>
      <c r="T6" s="7"/>
      <c r="U6" s="7"/>
      <c r="V6" s="302"/>
      <c r="W6" s="302"/>
      <c r="X6" s="302"/>
      <c r="Y6" s="302"/>
      <c r="Z6" s="302"/>
      <c r="AA6" s="302"/>
      <c r="AB6" s="302"/>
    </row>
    <row r="7" spans="1:28" ht="16.5" customHeight="1" x14ac:dyDescent="0.4">
      <c r="E7" s="278"/>
      <c r="F7" s="278"/>
      <c r="G7" s="312" t="s">
        <v>204</v>
      </c>
      <c r="H7" s="312"/>
      <c r="I7" s="312"/>
      <c r="J7" s="8"/>
      <c r="K7" s="312" t="s">
        <v>205</v>
      </c>
      <c r="L7" s="312"/>
      <c r="M7" s="312"/>
      <c r="V7" s="302"/>
      <c r="W7" s="302"/>
      <c r="X7" s="302"/>
      <c r="Y7" s="7"/>
      <c r="Z7" s="302"/>
      <c r="AA7" s="302"/>
      <c r="AB7" s="302"/>
    </row>
    <row r="8" spans="1:28" ht="16.5" customHeight="1" x14ac:dyDescent="0.4">
      <c r="E8" s="278"/>
      <c r="F8" s="278"/>
      <c r="G8" s="312" t="s">
        <v>363</v>
      </c>
      <c r="H8" s="312"/>
      <c r="I8" s="312"/>
      <c r="J8" s="279"/>
      <c r="K8" s="312" t="str">
        <f>+G8</f>
        <v>For the three-month period ended March 31</v>
      </c>
      <c r="L8" s="312"/>
      <c r="M8" s="312"/>
      <c r="V8" s="301"/>
      <c r="W8" s="301"/>
      <c r="X8" s="301"/>
      <c r="Y8" s="8"/>
      <c r="Z8" s="301"/>
      <c r="AA8" s="301"/>
      <c r="AB8" s="301"/>
    </row>
    <row r="9" spans="1:28" ht="16.5" customHeight="1" x14ac:dyDescent="0.4">
      <c r="E9" s="278"/>
      <c r="F9" s="278"/>
      <c r="G9" s="280">
        <v>2025</v>
      </c>
      <c r="H9" s="12"/>
      <c r="I9" s="280">
        <v>2024</v>
      </c>
      <c r="J9" s="8"/>
      <c r="K9" s="280">
        <f>+G9</f>
        <v>2025</v>
      </c>
      <c r="L9" s="12"/>
      <c r="M9" s="280">
        <f>+I9</f>
        <v>2024</v>
      </c>
      <c r="N9" s="12"/>
      <c r="O9" s="25"/>
      <c r="V9" s="227"/>
      <c r="W9" s="12"/>
      <c r="X9" s="227"/>
      <c r="Y9" s="227"/>
      <c r="Z9" s="227"/>
      <c r="AA9" s="12"/>
      <c r="AB9" s="227"/>
    </row>
    <row r="10" spans="1:28" ht="16.5" customHeight="1" x14ac:dyDescent="0.4">
      <c r="A10" s="17" t="s">
        <v>179</v>
      </c>
      <c r="B10" s="14"/>
      <c r="C10" s="14"/>
      <c r="D10" s="14"/>
      <c r="E10" s="278"/>
      <c r="F10" s="157"/>
      <c r="G10" s="281"/>
      <c r="H10" s="281"/>
      <c r="I10" s="281"/>
      <c r="J10" s="282"/>
      <c r="L10" s="282"/>
      <c r="M10" s="282"/>
      <c r="V10" s="228"/>
      <c r="W10" s="12"/>
      <c r="X10" s="228"/>
      <c r="Y10" s="228"/>
      <c r="Z10" s="228"/>
      <c r="AA10" s="12"/>
      <c r="AB10" s="228"/>
    </row>
    <row r="11" spans="1:28" ht="16.5" customHeight="1" x14ac:dyDescent="0.4">
      <c r="A11" s="14"/>
      <c r="B11" s="17" t="s">
        <v>265</v>
      </c>
      <c r="C11" s="14"/>
      <c r="D11" s="14"/>
      <c r="E11" s="278"/>
      <c r="F11" s="157"/>
      <c r="G11" s="13">
        <f>+'PL_Q1-68'!F41</f>
        <v>-331983917.38000005</v>
      </c>
      <c r="H11" s="13"/>
      <c r="I11" s="13">
        <f>+'PL_Q1-68'!H41</f>
        <v>683720150.73000002</v>
      </c>
      <c r="J11" s="13"/>
      <c r="K11" s="13">
        <f>+'PL_Q1-68'!J41</f>
        <v>-87603709.439999998</v>
      </c>
      <c r="L11" s="13"/>
      <c r="M11" s="13">
        <f>+'PL_Q1-68'!L41</f>
        <v>95942861.770000011</v>
      </c>
      <c r="P11" s="14"/>
      <c r="Q11" s="14"/>
      <c r="R11" s="14"/>
      <c r="S11" s="14"/>
      <c r="U11" s="157"/>
      <c r="V11" s="14"/>
      <c r="W11" s="14"/>
      <c r="X11" s="14"/>
      <c r="Y11" s="14"/>
      <c r="Z11" s="14"/>
      <c r="AA11" s="14"/>
      <c r="AB11" s="14"/>
    </row>
    <row r="12" spans="1:28" ht="16.5" customHeight="1" x14ac:dyDescent="0.4">
      <c r="A12" s="14"/>
      <c r="B12" s="17" t="s">
        <v>181</v>
      </c>
      <c r="C12" s="14"/>
      <c r="D12" s="14"/>
      <c r="E12" s="278"/>
      <c r="F12" s="157"/>
      <c r="G12" s="13"/>
      <c r="H12" s="13"/>
      <c r="I12" s="13"/>
      <c r="J12" s="13"/>
      <c r="K12" s="13"/>
      <c r="L12" s="13"/>
      <c r="M12" s="13"/>
      <c r="P12" s="14"/>
      <c r="Q12" s="14"/>
      <c r="R12" s="14"/>
      <c r="S12" s="14"/>
      <c r="T12" s="157"/>
      <c r="U12" s="157"/>
      <c r="V12" s="207"/>
      <c r="W12" s="207"/>
      <c r="X12" s="207"/>
      <c r="Y12" s="207"/>
      <c r="Z12" s="207"/>
      <c r="AA12" s="207"/>
      <c r="AB12" s="207"/>
    </row>
    <row r="13" spans="1:28" ht="16.5" customHeight="1" x14ac:dyDescent="0.4">
      <c r="A13" s="14"/>
      <c r="C13" s="17" t="s">
        <v>200</v>
      </c>
      <c r="D13" s="14"/>
      <c r="E13" s="157"/>
      <c r="F13" s="157"/>
      <c r="G13" s="13"/>
      <c r="H13" s="13"/>
      <c r="I13" s="13"/>
      <c r="J13" s="13"/>
      <c r="K13" s="13"/>
      <c r="L13" s="13"/>
      <c r="M13" s="13"/>
      <c r="P13" s="14"/>
      <c r="Q13" s="14"/>
      <c r="R13" s="14"/>
      <c r="S13" s="14"/>
      <c r="T13" s="157"/>
      <c r="U13" s="157"/>
      <c r="V13" s="207"/>
      <c r="W13" s="207"/>
      <c r="X13" s="207"/>
      <c r="Y13" s="207"/>
      <c r="Z13" s="207"/>
      <c r="AA13" s="207"/>
      <c r="AB13" s="207"/>
    </row>
    <row r="14" spans="1:28" ht="16.5" customHeight="1" x14ac:dyDescent="0.4">
      <c r="A14" s="14"/>
      <c r="C14" s="17" t="s">
        <v>180</v>
      </c>
      <c r="D14" s="17" t="s">
        <v>182</v>
      </c>
      <c r="E14" s="157" t="s">
        <v>325</v>
      </c>
      <c r="F14" s="157"/>
      <c r="G14" s="13">
        <v>1827312.69</v>
      </c>
      <c r="H14" s="13"/>
      <c r="I14" s="17">
        <v>2891303.07</v>
      </c>
      <c r="J14" s="13"/>
      <c r="K14" s="13">
        <v>1820627.01</v>
      </c>
      <c r="L14" s="13"/>
      <c r="M14" s="17">
        <v>1885866.77</v>
      </c>
      <c r="P14" s="14"/>
      <c r="Q14" s="14"/>
      <c r="R14" s="14"/>
      <c r="S14" s="14"/>
      <c r="T14" s="229"/>
      <c r="U14" s="157"/>
      <c r="V14" s="206"/>
      <c r="W14" s="207"/>
      <c r="Y14" s="207"/>
      <c r="Z14" s="206"/>
      <c r="AA14" s="207"/>
    </row>
    <row r="15" spans="1:28" ht="16.5" customHeight="1" x14ac:dyDescent="0.4">
      <c r="A15" s="14"/>
      <c r="D15" s="14" t="s">
        <v>380</v>
      </c>
      <c r="E15" s="157" t="s">
        <v>379</v>
      </c>
      <c r="F15" s="157"/>
      <c r="G15" s="13">
        <v>14860902.77</v>
      </c>
      <c r="H15" s="13"/>
      <c r="I15" s="13">
        <v>0</v>
      </c>
      <c r="J15" s="13"/>
      <c r="K15" s="13">
        <v>14860902.77</v>
      </c>
      <c r="L15" s="13"/>
      <c r="M15" s="13">
        <v>0</v>
      </c>
      <c r="P15" s="14"/>
      <c r="Q15" s="14"/>
      <c r="R15" s="14"/>
      <c r="S15" s="14"/>
      <c r="T15" s="229"/>
      <c r="U15" s="157"/>
      <c r="V15" s="206"/>
      <c r="W15" s="207"/>
      <c r="X15" s="207"/>
      <c r="Y15" s="207"/>
      <c r="Z15" s="206"/>
      <c r="AA15" s="207"/>
      <c r="AB15" s="207"/>
    </row>
    <row r="16" spans="1:28" ht="16.5" customHeight="1" x14ac:dyDescent="0.4">
      <c r="A16" s="14"/>
      <c r="B16" s="14"/>
      <c r="C16" s="14"/>
      <c r="D16" s="14" t="s">
        <v>326</v>
      </c>
      <c r="E16" s="157">
        <v>10</v>
      </c>
      <c r="F16" s="157"/>
      <c r="G16" s="13">
        <f>54035440-335543.17</f>
        <v>53699896.829999998</v>
      </c>
      <c r="H16" s="13"/>
      <c r="I16" s="17">
        <v>8074747.1600000001</v>
      </c>
      <c r="J16" s="13"/>
      <c r="K16" s="13">
        <f>54035440-335543.17</f>
        <v>53699896.829999998</v>
      </c>
      <c r="L16" s="13"/>
      <c r="M16" s="17">
        <v>8074747.1600000001</v>
      </c>
      <c r="P16" s="14"/>
      <c r="Q16" s="14"/>
      <c r="R16" s="14"/>
      <c r="S16" s="14"/>
      <c r="T16" s="229"/>
      <c r="U16" s="157"/>
      <c r="V16" s="206"/>
      <c r="W16" s="207"/>
      <c r="Y16" s="207"/>
      <c r="Z16" s="206"/>
      <c r="AA16" s="207"/>
    </row>
    <row r="17" spans="1:28" ht="16.5" customHeight="1" x14ac:dyDescent="0.4">
      <c r="A17" s="14"/>
      <c r="B17" s="14"/>
      <c r="C17" s="14"/>
      <c r="D17" s="8" t="s">
        <v>368</v>
      </c>
      <c r="E17" s="237">
        <v>8.4</v>
      </c>
      <c r="F17" s="157"/>
      <c r="G17" s="13">
        <v>174853077.97999999</v>
      </c>
      <c r="H17" s="20"/>
      <c r="I17" s="17">
        <v>-298720580.35000002</v>
      </c>
      <c r="J17" s="20"/>
      <c r="K17" s="13">
        <v>36328037.450000003</v>
      </c>
      <c r="L17" s="13"/>
      <c r="M17" s="17">
        <v>6620719.7199999997</v>
      </c>
      <c r="P17" s="14"/>
      <c r="Q17" s="14"/>
      <c r="R17" s="14"/>
      <c r="S17" s="14"/>
      <c r="T17" s="230"/>
      <c r="U17" s="157"/>
      <c r="V17" s="206"/>
      <c r="W17" s="207"/>
      <c r="Y17" s="207"/>
      <c r="Z17" s="206"/>
      <c r="AA17" s="207"/>
    </row>
    <row r="18" spans="1:28" ht="16.5" customHeight="1" x14ac:dyDescent="0.4">
      <c r="A18" s="14"/>
      <c r="B18" s="14"/>
      <c r="C18" s="14"/>
      <c r="D18" s="8" t="s">
        <v>312</v>
      </c>
      <c r="E18" s="237">
        <v>6</v>
      </c>
      <c r="F18" s="157"/>
      <c r="G18" s="13">
        <v>119421401.15000001</v>
      </c>
      <c r="H18" s="20"/>
      <c r="I18" s="17">
        <v>-132654980.65000001</v>
      </c>
      <c r="J18" s="20"/>
      <c r="K18" s="13">
        <v>-0.56999999999999995</v>
      </c>
      <c r="L18" s="13"/>
      <c r="M18" s="17">
        <v>-88799.81</v>
      </c>
      <c r="P18" s="14"/>
      <c r="Q18" s="14"/>
      <c r="R18" s="14"/>
      <c r="S18" s="14"/>
      <c r="T18" s="229"/>
      <c r="U18" s="157"/>
      <c r="V18" s="206"/>
      <c r="W18" s="207"/>
      <c r="Y18" s="207"/>
      <c r="Z18" s="206"/>
      <c r="AA18" s="207"/>
    </row>
    <row r="19" spans="1:28" ht="16.5" customHeight="1" x14ac:dyDescent="0.4">
      <c r="A19" s="14"/>
      <c r="B19" s="14"/>
      <c r="C19" s="14"/>
      <c r="D19" s="8" t="s">
        <v>327</v>
      </c>
      <c r="E19" s="237">
        <v>6</v>
      </c>
      <c r="F19" s="157"/>
      <c r="G19" s="13">
        <v>11425.34</v>
      </c>
      <c r="H19" s="20"/>
      <c r="I19" s="17">
        <v>-126072715.03</v>
      </c>
      <c r="J19" s="20"/>
      <c r="K19" s="13">
        <v>106.1</v>
      </c>
      <c r="L19" s="13"/>
      <c r="M19" s="17">
        <v>535</v>
      </c>
      <c r="P19" s="14"/>
      <c r="Q19" s="14"/>
      <c r="R19" s="14"/>
      <c r="S19" s="14"/>
      <c r="T19" s="229"/>
      <c r="U19" s="157"/>
      <c r="V19" s="206"/>
      <c r="W19" s="207"/>
      <c r="Y19" s="207"/>
      <c r="Z19" s="206"/>
      <c r="AA19" s="207"/>
    </row>
    <row r="20" spans="1:28" ht="16.5" customHeight="1" x14ac:dyDescent="0.4">
      <c r="A20" s="14"/>
      <c r="B20" s="14"/>
      <c r="C20" s="14"/>
      <c r="D20" s="8" t="s">
        <v>319</v>
      </c>
      <c r="E20" s="238"/>
      <c r="F20" s="157"/>
      <c r="G20" s="13">
        <v>-28345486.469999999</v>
      </c>
      <c r="H20" s="20"/>
      <c r="I20" s="17">
        <v>-49294038.630000003</v>
      </c>
      <c r="J20" s="20"/>
      <c r="K20" s="13">
        <v>-10405.129999999999</v>
      </c>
      <c r="L20" s="13"/>
      <c r="M20" s="17">
        <v>-19408.63</v>
      </c>
      <c r="P20" s="14"/>
      <c r="Q20" s="14"/>
      <c r="R20" s="14"/>
      <c r="S20" s="8"/>
      <c r="T20" s="229"/>
      <c r="U20" s="157"/>
      <c r="V20" s="206"/>
      <c r="W20" s="207"/>
      <c r="Y20" s="207"/>
      <c r="Z20" s="206"/>
      <c r="AA20" s="207"/>
    </row>
    <row r="21" spans="1:28" ht="16.5" hidden="1" customHeight="1" x14ac:dyDescent="0.4">
      <c r="A21" s="14"/>
      <c r="B21" s="14"/>
      <c r="C21" s="14"/>
      <c r="D21" s="8" t="s">
        <v>337</v>
      </c>
      <c r="E21" s="238"/>
      <c r="F21" s="157"/>
      <c r="G21" s="13">
        <v>0</v>
      </c>
      <c r="H21" s="20"/>
      <c r="I21" s="13">
        <v>0</v>
      </c>
      <c r="J21" s="20"/>
      <c r="K21" s="13">
        <v>0</v>
      </c>
      <c r="L21" s="13"/>
      <c r="M21" s="13">
        <v>0</v>
      </c>
      <c r="P21" s="14"/>
      <c r="Q21" s="14"/>
      <c r="R21" s="14"/>
      <c r="S21" s="14"/>
      <c r="T21" s="230"/>
      <c r="U21" s="157"/>
      <c r="V21" s="206"/>
      <c r="W21" s="207"/>
      <c r="X21" s="207"/>
      <c r="Y21" s="207"/>
      <c r="Z21" s="206"/>
      <c r="AA21" s="207"/>
      <c r="AB21" s="207"/>
    </row>
    <row r="22" spans="1:28" ht="16.5" customHeight="1" x14ac:dyDescent="0.4">
      <c r="A22" s="14"/>
      <c r="B22" s="14"/>
      <c r="C22" s="14"/>
      <c r="D22" s="14" t="s">
        <v>266</v>
      </c>
      <c r="E22" s="12">
        <v>22</v>
      </c>
      <c r="F22" s="157"/>
      <c r="G22" s="13">
        <v>1008580</v>
      </c>
      <c r="H22" s="20"/>
      <c r="I22" s="13">
        <v>736784</v>
      </c>
      <c r="J22" s="20"/>
      <c r="K22" s="13">
        <v>1004835</v>
      </c>
      <c r="L22" s="13"/>
      <c r="M22" s="13">
        <v>719985.34</v>
      </c>
      <c r="P22" s="14"/>
      <c r="Q22" s="14"/>
      <c r="R22" s="14"/>
      <c r="S22" s="14"/>
      <c r="T22" s="229"/>
      <c r="U22" s="157"/>
      <c r="V22" s="206"/>
      <c r="W22" s="207"/>
      <c r="Y22" s="207"/>
      <c r="Z22" s="206"/>
      <c r="AA22" s="207"/>
    </row>
    <row r="23" spans="1:28" ht="16.5" customHeight="1" x14ac:dyDescent="0.4">
      <c r="A23" s="14"/>
      <c r="B23" s="14"/>
      <c r="C23" s="14"/>
      <c r="D23" s="14" t="s">
        <v>269</v>
      </c>
      <c r="E23" s="12">
        <v>18.100000000000001</v>
      </c>
      <c r="F23" s="157"/>
      <c r="G23" s="13">
        <v>2007911.56</v>
      </c>
      <c r="I23" s="13">
        <v>18873451.52</v>
      </c>
      <c r="K23" s="13">
        <v>2007911.56</v>
      </c>
      <c r="M23" s="13">
        <v>18873451.52</v>
      </c>
      <c r="S23" s="8"/>
      <c r="T23" s="231"/>
      <c r="V23" s="206"/>
      <c r="Z23" s="206"/>
    </row>
    <row r="24" spans="1:28" ht="16.5" customHeight="1" x14ac:dyDescent="0.4">
      <c r="A24" s="14"/>
      <c r="B24" s="14"/>
      <c r="C24" s="14"/>
      <c r="D24" s="14" t="s">
        <v>267</v>
      </c>
      <c r="E24" s="12">
        <v>18.100000000000001</v>
      </c>
      <c r="F24" s="157"/>
      <c r="G24" s="20">
        <f>-18403592.85+67108.63-2972180.55</f>
        <v>-21308664.770000003</v>
      </c>
      <c r="H24" s="20"/>
      <c r="I24" s="20">
        <v>-4442375.62</v>
      </c>
      <c r="J24" s="20"/>
      <c r="K24" s="17">
        <f>-18272201.84+67108.63-2972180.55</f>
        <v>-21177273.760000002</v>
      </c>
      <c r="L24" s="20"/>
      <c r="M24" s="17">
        <v>-4173940.09</v>
      </c>
      <c r="P24" s="14"/>
      <c r="Q24" s="14"/>
      <c r="R24" s="14"/>
      <c r="S24" s="8"/>
      <c r="T24" s="230"/>
      <c r="U24" s="157"/>
      <c r="V24" s="206"/>
      <c r="W24" s="207"/>
      <c r="Y24" s="207"/>
      <c r="Z24" s="206"/>
      <c r="AA24" s="207"/>
    </row>
    <row r="25" spans="1:28" ht="16.5" customHeight="1" x14ac:dyDescent="0.4">
      <c r="A25" s="14"/>
      <c r="B25" s="14"/>
      <c r="C25" s="14"/>
      <c r="D25" s="14" t="s">
        <v>212</v>
      </c>
      <c r="E25" s="157"/>
      <c r="F25" s="157"/>
      <c r="G25" s="138">
        <v>2563920.42</v>
      </c>
      <c r="H25" s="13"/>
      <c r="I25" s="138">
        <v>2298509.58</v>
      </c>
      <c r="J25" s="13"/>
      <c r="K25" s="138">
        <v>2615701.25</v>
      </c>
      <c r="L25" s="13"/>
      <c r="M25" s="138">
        <v>2407525.98</v>
      </c>
      <c r="P25" s="14"/>
      <c r="Q25" s="14"/>
      <c r="R25" s="14"/>
      <c r="S25" s="14"/>
      <c r="T25" s="157"/>
      <c r="U25" s="157"/>
      <c r="V25" s="207"/>
      <c r="W25" s="207"/>
      <c r="Y25" s="207"/>
      <c r="Z25" s="207"/>
      <c r="AA25" s="207"/>
    </row>
    <row r="26" spans="1:28" ht="16.5" customHeight="1" x14ac:dyDescent="0.4">
      <c r="A26" s="14"/>
      <c r="B26" s="14" t="s">
        <v>242</v>
      </c>
      <c r="C26" s="14"/>
      <c r="D26" s="14"/>
      <c r="E26" s="157"/>
      <c r="F26" s="157"/>
      <c r="G26" s="13">
        <f>+SUM(G11:G25)</f>
        <v>-11383639.8800001</v>
      </c>
      <c r="H26" s="20"/>
      <c r="I26" s="13">
        <f>+SUM(I11:I25)</f>
        <v>105410255.78</v>
      </c>
      <c r="J26" s="20"/>
      <c r="K26" s="13">
        <f>+SUM(K11:K25)</f>
        <v>3546629.070000004</v>
      </c>
      <c r="L26" s="20"/>
      <c r="M26" s="13">
        <f>+SUM(M11:M25)</f>
        <v>130243544.73</v>
      </c>
      <c r="P26" s="14"/>
      <c r="Q26" s="14"/>
      <c r="R26" s="14"/>
      <c r="S26" s="14"/>
      <c r="T26" s="157"/>
      <c r="U26" s="157"/>
      <c r="V26" s="207"/>
      <c r="W26" s="207"/>
      <c r="X26" s="207"/>
      <c r="Y26" s="207"/>
      <c r="Z26" s="207"/>
      <c r="AA26" s="207"/>
      <c r="AB26" s="207"/>
    </row>
    <row r="27" spans="1:28" ht="16.5" customHeight="1" x14ac:dyDescent="0.4">
      <c r="A27" s="14"/>
      <c r="B27" s="23" t="s">
        <v>183</v>
      </c>
      <c r="C27" s="14"/>
      <c r="D27" s="14"/>
      <c r="E27" s="157"/>
      <c r="F27" s="157"/>
      <c r="G27" s="13"/>
      <c r="H27" s="20"/>
      <c r="I27" s="13"/>
      <c r="J27" s="20"/>
      <c r="K27" s="13"/>
      <c r="L27" s="20"/>
      <c r="M27" s="13"/>
      <c r="P27" s="14"/>
      <c r="Q27" s="14"/>
      <c r="R27" s="14"/>
      <c r="S27" s="14"/>
      <c r="T27" s="157"/>
      <c r="U27" s="157"/>
      <c r="V27" s="137"/>
      <c r="W27" s="137"/>
      <c r="X27" s="137"/>
      <c r="Y27" s="137"/>
      <c r="Z27" s="137"/>
      <c r="AA27" s="137"/>
      <c r="AB27" s="137"/>
    </row>
    <row r="28" spans="1:28" ht="16.5" customHeight="1" x14ac:dyDescent="0.4">
      <c r="A28" s="14"/>
      <c r="B28" s="14"/>
      <c r="C28" s="245" t="s">
        <v>300</v>
      </c>
      <c r="D28" s="14"/>
      <c r="E28" s="219">
        <v>8.3000000000000007</v>
      </c>
      <c r="F28" s="157"/>
      <c r="G28" s="13">
        <v>28477927.649999999</v>
      </c>
      <c r="H28" s="13"/>
      <c r="I28" s="17">
        <v>-42749529.07</v>
      </c>
      <c r="J28" s="13"/>
      <c r="K28" s="13">
        <v>0</v>
      </c>
      <c r="L28" s="13"/>
      <c r="M28" s="13">
        <v>0</v>
      </c>
      <c r="P28" s="14"/>
      <c r="Q28" s="14"/>
      <c r="S28" s="14"/>
      <c r="T28" s="230"/>
      <c r="U28" s="157"/>
      <c r="V28" s="206"/>
      <c r="W28" s="207"/>
      <c r="Y28" s="207"/>
      <c r="Z28" s="206"/>
      <c r="AA28" s="207"/>
      <c r="AB28" s="233"/>
    </row>
    <row r="29" spans="1:28" ht="16.5" customHeight="1" x14ac:dyDescent="0.4">
      <c r="A29" s="14"/>
      <c r="B29" s="14"/>
      <c r="C29" s="14" t="s">
        <v>234</v>
      </c>
      <c r="D29" s="14"/>
      <c r="E29" s="157">
        <v>4</v>
      </c>
      <c r="F29" s="157"/>
      <c r="G29" s="13">
        <v>-26808432</v>
      </c>
      <c r="H29" s="13"/>
      <c r="I29" s="17">
        <v>-18180369.850000001</v>
      </c>
      <c r="J29" s="13"/>
      <c r="K29" s="13">
        <v>0</v>
      </c>
      <c r="L29" s="13"/>
      <c r="M29" s="17">
        <v>-25851455.200000003</v>
      </c>
      <c r="P29" s="14"/>
      <c r="Q29" s="14"/>
      <c r="R29" s="14"/>
      <c r="S29" s="14"/>
      <c r="T29" s="229"/>
      <c r="U29" s="157"/>
      <c r="V29" s="206"/>
      <c r="W29" s="207"/>
      <c r="Y29" s="207"/>
      <c r="Z29" s="206"/>
      <c r="AA29" s="207"/>
    </row>
    <row r="30" spans="1:28" ht="16.5" customHeight="1" x14ac:dyDescent="0.4">
      <c r="A30" s="14"/>
      <c r="B30" s="14"/>
      <c r="C30" s="14" t="s">
        <v>233</v>
      </c>
      <c r="D30" s="14"/>
      <c r="E30" s="219">
        <v>2.2000000000000002</v>
      </c>
      <c r="F30" s="157"/>
      <c r="G30" s="13">
        <v>-34347.14</v>
      </c>
      <c r="H30" s="13"/>
      <c r="I30" s="208">
        <v>0</v>
      </c>
      <c r="J30" s="13"/>
      <c r="K30" s="13">
        <v>-3409347.14</v>
      </c>
      <c r="L30" s="13"/>
      <c r="M30" s="208">
        <v>0</v>
      </c>
      <c r="P30" s="14"/>
      <c r="Q30" s="14"/>
      <c r="R30" s="14"/>
      <c r="S30" s="14"/>
      <c r="T30" s="230"/>
      <c r="U30" s="157"/>
      <c r="V30" s="206"/>
      <c r="W30" s="207"/>
      <c r="X30" s="207"/>
      <c r="Y30" s="207"/>
      <c r="Z30" s="206"/>
      <c r="AA30" s="207"/>
      <c r="AB30" s="207"/>
    </row>
    <row r="31" spans="1:28" ht="16.5" customHeight="1" x14ac:dyDescent="0.4">
      <c r="A31" s="14"/>
      <c r="B31" s="14"/>
      <c r="C31" s="14" t="s">
        <v>251</v>
      </c>
      <c r="D31" s="14"/>
      <c r="E31" s="157">
        <v>5</v>
      </c>
      <c r="F31" s="157"/>
      <c r="G31" s="13">
        <v>9403983.2899999991</v>
      </c>
      <c r="H31" s="13"/>
      <c r="I31" s="17">
        <v>-45155380.530000001</v>
      </c>
      <c r="J31" s="13"/>
      <c r="K31" s="13">
        <v>-2966735.62</v>
      </c>
      <c r="L31" s="13"/>
      <c r="M31" s="17">
        <v>28641180.010000002</v>
      </c>
      <c r="P31" s="14"/>
      <c r="Q31" s="14"/>
      <c r="R31" s="14"/>
      <c r="S31" s="14"/>
      <c r="T31" s="229"/>
      <c r="U31" s="157"/>
      <c r="V31" s="206"/>
      <c r="W31" s="207"/>
      <c r="Y31" s="207"/>
      <c r="Z31" s="206"/>
      <c r="AA31" s="207"/>
    </row>
    <row r="32" spans="1:28" ht="16.5" customHeight="1" x14ac:dyDescent="0.4">
      <c r="A32" s="14"/>
      <c r="B32" s="14"/>
      <c r="C32" s="14" t="s">
        <v>250</v>
      </c>
      <c r="D32" s="14"/>
      <c r="E32" s="219">
        <v>2.2999999999999998</v>
      </c>
      <c r="F32" s="157"/>
      <c r="G32" s="13">
        <v>0</v>
      </c>
      <c r="H32" s="13"/>
      <c r="I32" s="13">
        <v>0</v>
      </c>
      <c r="J32" s="13"/>
      <c r="K32" s="13">
        <v>-10442636.140000001</v>
      </c>
      <c r="L32" s="13"/>
      <c r="M32" s="17">
        <v>1632371.71</v>
      </c>
      <c r="P32" s="14"/>
      <c r="Q32" s="14"/>
      <c r="R32" s="14"/>
      <c r="S32" s="14"/>
      <c r="T32" s="230"/>
      <c r="U32" s="157"/>
      <c r="V32" s="206"/>
      <c r="W32" s="207"/>
      <c r="X32" s="233"/>
      <c r="Y32" s="207"/>
      <c r="Z32" s="206"/>
      <c r="AA32" s="207"/>
    </row>
    <row r="33" spans="1:28" ht="16.5" customHeight="1" x14ac:dyDescent="0.4">
      <c r="A33" s="14"/>
      <c r="B33" s="14"/>
      <c r="C33" s="14" t="s">
        <v>340</v>
      </c>
      <c r="D33" s="14"/>
      <c r="E33" s="157">
        <v>6</v>
      </c>
      <c r="F33" s="157"/>
      <c r="G33" s="13">
        <v>-10028799</v>
      </c>
      <c r="H33" s="13"/>
      <c r="I33" s="13">
        <v>0</v>
      </c>
      <c r="J33" s="13"/>
      <c r="K33" s="13">
        <v>0</v>
      </c>
      <c r="L33" s="13"/>
      <c r="M33" s="232">
        <v>0</v>
      </c>
      <c r="P33" s="14"/>
      <c r="Q33" s="14"/>
      <c r="R33" s="14"/>
      <c r="S33" s="14"/>
      <c r="T33" s="230"/>
      <c r="U33" s="157"/>
      <c r="V33" s="206"/>
      <c r="W33" s="207"/>
      <c r="X33" s="233"/>
      <c r="Y33" s="207"/>
      <c r="Z33" s="206"/>
      <c r="AA33" s="207"/>
    </row>
    <row r="34" spans="1:28" ht="16.5" customHeight="1" x14ac:dyDescent="0.4">
      <c r="A34" s="14"/>
      <c r="B34" s="14"/>
      <c r="C34" s="14" t="s">
        <v>352</v>
      </c>
      <c r="D34" s="14"/>
      <c r="E34" s="237">
        <v>15</v>
      </c>
      <c r="F34" s="157"/>
      <c r="G34" s="13">
        <v>0</v>
      </c>
      <c r="H34" s="13"/>
      <c r="I34" s="17">
        <v>-188725791.44999999</v>
      </c>
      <c r="J34" s="13"/>
      <c r="K34" s="13">
        <v>0</v>
      </c>
      <c r="L34" s="13"/>
      <c r="M34" s="208">
        <v>0</v>
      </c>
      <c r="P34" s="14"/>
      <c r="Q34" s="14"/>
      <c r="R34" s="8"/>
      <c r="S34" s="14"/>
      <c r="T34" s="229"/>
      <c r="U34" s="157"/>
      <c r="V34" s="206"/>
      <c r="W34" s="207"/>
      <c r="Y34" s="207"/>
      <c r="Z34" s="206"/>
      <c r="AA34" s="207"/>
      <c r="AB34" s="207"/>
    </row>
    <row r="35" spans="1:28" ht="16.5" customHeight="1" x14ac:dyDescent="0.4">
      <c r="A35" s="14"/>
      <c r="B35" s="14"/>
      <c r="C35" s="14" t="s">
        <v>186</v>
      </c>
      <c r="D35" s="14"/>
      <c r="E35" s="157"/>
      <c r="F35" s="157"/>
      <c r="G35" s="13">
        <v>-79716.600000000006</v>
      </c>
      <c r="H35" s="13"/>
      <c r="I35" s="17">
        <v>9691182.6899999995</v>
      </c>
      <c r="J35" s="13"/>
      <c r="K35" s="13">
        <v>-79197.740000000005</v>
      </c>
      <c r="L35" s="13"/>
      <c r="M35" s="17">
        <v>-3075579.35</v>
      </c>
      <c r="P35" s="14"/>
      <c r="Q35" s="14"/>
      <c r="R35" s="14"/>
      <c r="S35" s="14"/>
      <c r="T35" s="157"/>
      <c r="U35" s="157"/>
      <c r="V35" s="206"/>
      <c r="W35" s="207"/>
      <c r="Y35" s="207"/>
      <c r="Z35" s="206"/>
      <c r="AA35" s="207"/>
    </row>
    <row r="36" spans="1:28" ht="16.5" customHeight="1" x14ac:dyDescent="0.4">
      <c r="A36" s="14"/>
      <c r="B36" s="14"/>
      <c r="C36" s="14" t="s">
        <v>140</v>
      </c>
      <c r="D36" s="14"/>
      <c r="E36" s="157"/>
      <c r="F36" s="157"/>
      <c r="G36" s="13">
        <v>0</v>
      </c>
      <c r="H36" s="13"/>
      <c r="I36" s="13">
        <v>0</v>
      </c>
      <c r="J36" s="13"/>
      <c r="K36" s="13">
        <v>0</v>
      </c>
      <c r="L36" s="13"/>
      <c r="M36" s="17">
        <v>11556218.140000001</v>
      </c>
      <c r="P36" s="14"/>
      <c r="Q36" s="14"/>
      <c r="R36" s="14"/>
      <c r="S36" s="14"/>
      <c r="T36" s="207"/>
      <c r="U36" s="157"/>
      <c r="V36" s="206"/>
      <c r="W36" s="207"/>
      <c r="X36" s="233"/>
      <c r="Y36" s="207"/>
      <c r="Z36" s="206"/>
      <c r="AA36" s="207"/>
    </row>
    <row r="37" spans="1:28" ht="16.5" customHeight="1" x14ac:dyDescent="0.4">
      <c r="A37" s="14"/>
      <c r="B37" s="14" t="s">
        <v>187</v>
      </c>
      <c r="C37" s="14"/>
      <c r="D37" s="14"/>
      <c r="E37" s="157"/>
      <c r="F37" s="157"/>
      <c r="G37" s="13"/>
      <c r="H37" s="13"/>
      <c r="I37" s="13"/>
      <c r="J37" s="13"/>
      <c r="K37" s="13"/>
      <c r="L37" s="13"/>
      <c r="M37" s="13"/>
      <c r="P37" s="14"/>
      <c r="Q37" s="14"/>
      <c r="R37" s="14"/>
      <c r="S37" s="14"/>
      <c r="T37" s="157"/>
      <c r="U37" s="157"/>
      <c r="V37" s="206"/>
      <c r="W37" s="207"/>
      <c r="X37" s="207"/>
      <c r="Y37" s="207"/>
      <c r="Z37" s="206"/>
      <c r="AA37" s="207"/>
      <c r="AB37" s="207"/>
    </row>
    <row r="38" spans="1:28" ht="16.5" hidden="1" customHeight="1" x14ac:dyDescent="0.4">
      <c r="A38" s="14"/>
      <c r="B38" s="14"/>
      <c r="C38" s="14" t="s">
        <v>235</v>
      </c>
      <c r="D38" s="14"/>
      <c r="E38" s="157"/>
      <c r="F38" s="157"/>
      <c r="G38" s="13">
        <v>0</v>
      </c>
      <c r="H38" s="13"/>
      <c r="I38" s="13">
        <v>0</v>
      </c>
      <c r="J38" s="13"/>
      <c r="K38" s="13">
        <v>0</v>
      </c>
      <c r="L38" s="13"/>
      <c r="M38" s="13">
        <v>0</v>
      </c>
      <c r="P38" s="14"/>
      <c r="Q38" s="14"/>
      <c r="R38" s="14"/>
      <c r="S38" s="14"/>
      <c r="T38" s="157"/>
      <c r="U38" s="157"/>
      <c r="V38" s="206"/>
      <c r="W38" s="207"/>
      <c r="Y38" s="207"/>
      <c r="Z38" s="206"/>
      <c r="AA38" s="207"/>
    </row>
    <row r="39" spans="1:28" ht="16.5" customHeight="1" x14ac:dyDescent="0.4">
      <c r="A39" s="14"/>
      <c r="B39" s="14"/>
      <c r="C39" s="14" t="s">
        <v>328</v>
      </c>
      <c r="D39" s="14"/>
      <c r="E39" s="219"/>
      <c r="F39" s="157"/>
      <c r="G39" s="13">
        <v>0</v>
      </c>
      <c r="H39" s="13"/>
      <c r="I39" s="13">
        <v>0</v>
      </c>
      <c r="J39" s="13"/>
      <c r="K39" s="13">
        <v>0</v>
      </c>
      <c r="L39" s="13"/>
      <c r="M39" s="17">
        <v>-78725230.049999997</v>
      </c>
      <c r="P39" s="14"/>
      <c r="Q39" s="14"/>
      <c r="R39" s="14"/>
      <c r="S39" s="14"/>
      <c r="T39" s="230"/>
      <c r="U39" s="157"/>
      <c r="V39" s="206"/>
      <c r="W39" s="207"/>
      <c r="Y39" s="207"/>
      <c r="Z39" s="206"/>
      <c r="AA39" s="207"/>
    </row>
    <row r="40" spans="1:28" ht="16.5" customHeight="1" x14ac:dyDescent="0.4">
      <c r="A40" s="14"/>
      <c r="B40" s="14"/>
      <c r="C40" s="14" t="s">
        <v>253</v>
      </c>
      <c r="D40" s="14"/>
      <c r="E40" s="157">
        <v>20</v>
      </c>
      <c r="F40" s="157"/>
      <c r="G40" s="13">
        <v>-30015642.539999999</v>
      </c>
      <c r="H40" s="13"/>
      <c r="I40" s="17">
        <v>-34110238</v>
      </c>
      <c r="J40" s="13"/>
      <c r="K40" s="13">
        <v>-29160361.190000001</v>
      </c>
      <c r="L40" s="13"/>
      <c r="M40" s="17">
        <v>-33841488.359999999</v>
      </c>
      <c r="P40" s="14"/>
      <c r="Q40" s="14"/>
      <c r="R40" s="14"/>
      <c r="S40" s="14"/>
      <c r="T40" s="229"/>
      <c r="U40" s="157"/>
      <c r="V40" s="206"/>
      <c r="W40" s="207"/>
      <c r="Y40" s="207"/>
      <c r="Z40" s="206"/>
      <c r="AA40" s="207"/>
    </row>
    <row r="41" spans="1:28" ht="16.5" customHeight="1" x14ac:dyDescent="0.4">
      <c r="A41" s="14"/>
      <c r="B41" s="14"/>
      <c r="C41" s="14" t="s">
        <v>310</v>
      </c>
      <c r="D41" s="14"/>
      <c r="E41" s="219">
        <v>2.5</v>
      </c>
      <c r="F41" s="157"/>
      <c r="G41" s="13">
        <v>0</v>
      </c>
      <c r="H41" s="13"/>
      <c r="I41" s="13">
        <v>0</v>
      </c>
      <c r="J41" s="13"/>
      <c r="K41" s="13">
        <v>-1203996.25</v>
      </c>
      <c r="L41" s="13"/>
      <c r="M41" s="17">
        <v>38706937.460000001</v>
      </c>
      <c r="P41" s="14"/>
      <c r="Q41" s="14"/>
      <c r="R41" s="14"/>
      <c r="S41" s="14"/>
      <c r="T41" s="157"/>
      <c r="U41" s="157"/>
      <c r="V41" s="206"/>
      <c r="W41" s="207"/>
      <c r="Y41" s="207"/>
      <c r="Z41" s="206"/>
      <c r="AA41" s="207"/>
    </row>
    <row r="42" spans="1:28" ht="16.5" customHeight="1" x14ac:dyDescent="0.4">
      <c r="A42" s="14"/>
      <c r="B42" s="14"/>
      <c r="C42" s="14" t="s">
        <v>148</v>
      </c>
      <c r="D42" s="14"/>
      <c r="E42" s="157"/>
      <c r="F42" s="157"/>
      <c r="G42" s="13">
        <v>10598013.27</v>
      </c>
      <c r="H42" s="13"/>
      <c r="I42" s="17">
        <v>10045262.58</v>
      </c>
      <c r="J42" s="13"/>
      <c r="K42" s="13">
        <v>10592691.210000001</v>
      </c>
      <c r="L42" s="13"/>
      <c r="M42" s="17">
        <v>11300196.709999999</v>
      </c>
      <c r="P42" s="14"/>
      <c r="Q42" s="14"/>
      <c r="R42" s="14"/>
      <c r="S42" s="14"/>
      <c r="T42" s="157"/>
      <c r="U42" s="157"/>
      <c r="V42" s="206"/>
      <c r="W42" s="207"/>
      <c r="X42" s="14"/>
      <c r="Y42" s="207"/>
      <c r="Z42" s="206"/>
      <c r="AA42" s="207"/>
      <c r="AB42" s="14"/>
    </row>
    <row r="43" spans="1:28" ht="16.5" customHeight="1" x14ac:dyDescent="0.4">
      <c r="A43" s="14"/>
      <c r="B43" s="14"/>
      <c r="C43" s="14" t="s">
        <v>285</v>
      </c>
      <c r="D43" s="14"/>
      <c r="E43" s="157"/>
      <c r="F43" s="157"/>
      <c r="G43" s="13">
        <v>0</v>
      </c>
      <c r="H43" s="13"/>
      <c r="I43" s="279">
        <v>534105</v>
      </c>
      <c r="J43" s="13"/>
      <c r="K43" s="13">
        <v>0</v>
      </c>
      <c r="L43" s="13"/>
      <c r="M43" s="279">
        <v>1638110</v>
      </c>
      <c r="P43" s="14"/>
      <c r="Q43" s="14"/>
      <c r="R43" s="14"/>
      <c r="S43" s="14"/>
      <c r="T43" s="157"/>
      <c r="U43" s="157"/>
      <c r="V43" s="206"/>
      <c r="W43" s="207"/>
      <c r="X43" s="14"/>
      <c r="Y43" s="207"/>
      <c r="Z43" s="206"/>
      <c r="AA43" s="207"/>
      <c r="AB43" s="14"/>
    </row>
    <row r="44" spans="1:28" ht="16.5" customHeight="1" x14ac:dyDescent="0.4">
      <c r="A44" s="14"/>
      <c r="B44" s="14"/>
      <c r="C44" s="14"/>
      <c r="D44" s="14" t="s">
        <v>342</v>
      </c>
      <c r="E44" s="157"/>
      <c r="F44" s="157"/>
      <c r="G44" s="139">
        <f>SUM(G26:G43)</f>
        <v>-29870652.950000104</v>
      </c>
      <c r="H44" s="20"/>
      <c r="I44" s="139">
        <f>SUM(I26:I43)</f>
        <v>-203240502.84999999</v>
      </c>
      <c r="J44" s="20"/>
      <c r="K44" s="139">
        <f>SUM(K26:K43)</f>
        <v>-33122953.799999997</v>
      </c>
      <c r="L44" s="20"/>
      <c r="M44" s="139">
        <f>SUM(M26:M43)</f>
        <v>82224805.800000027</v>
      </c>
      <c r="P44" s="14"/>
      <c r="Q44" s="14"/>
      <c r="R44" s="14"/>
      <c r="S44" s="14"/>
      <c r="T44" s="157"/>
      <c r="U44" s="157"/>
      <c r="V44" s="207"/>
      <c r="W44" s="207"/>
      <c r="X44" s="207"/>
      <c r="Y44" s="207"/>
      <c r="Z44" s="207"/>
      <c r="AA44" s="207"/>
      <c r="AB44" s="207"/>
    </row>
    <row r="45" spans="1:28" ht="16.5" customHeight="1" x14ac:dyDescent="0.4">
      <c r="A45" s="14"/>
      <c r="B45" s="14"/>
      <c r="C45" s="14"/>
      <c r="D45" s="14" t="s">
        <v>236</v>
      </c>
      <c r="E45" s="157"/>
      <c r="F45" s="157"/>
      <c r="G45" s="20">
        <v>-2563920.42</v>
      </c>
      <c r="H45" s="20"/>
      <c r="I45" s="17">
        <v>-2298509.58</v>
      </c>
      <c r="J45" s="20"/>
      <c r="K45" s="20">
        <v>-2615701.25</v>
      </c>
      <c r="L45" s="20"/>
      <c r="M45" s="17">
        <v>-2407525.98</v>
      </c>
      <c r="P45" s="14"/>
      <c r="Q45" s="14"/>
      <c r="R45" s="14"/>
      <c r="S45" s="14"/>
      <c r="T45" s="157"/>
      <c r="U45" s="157"/>
      <c r="V45" s="206"/>
      <c r="W45" s="207"/>
      <c r="X45" s="14"/>
      <c r="Y45" s="207"/>
      <c r="Z45" s="206"/>
      <c r="AA45" s="207"/>
      <c r="AB45" s="14"/>
    </row>
    <row r="46" spans="1:28" ht="16.5" customHeight="1" x14ac:dyDescent="0.4">
      <c r="A46" s="14"/>
      <c r="B46" s="14"/>
      <c r="C46" s="14"/>
      <c r="D46" s="14" t="s">
        <v>203</v>
      </c>
      <c r="E46" s="157"/>
      <c r="F46" s="157"/>
      <c r="G46" s="20">
        <v>-286759.09000000003</v>
      </c>
      <c r="H46" s="20"/>
      <c r="I46" s="17">
        <v>-857628.63</v>
      </c>
      <c r="J46" s="20"/>
      <c r="K46" s="20">
        <v>-286759.09000000003</v>
      </c>
      <c r="L46" s="20"/>
      <c r="M46" s="17">
        <v>-331532.02</v>
      </c>
      <c r="P46" s="14"/>
      <c r="Q46" s="14"/>
      <c r="R46" s="14"/>
      <c r="S46" s="14"/>
      <c r="T46" s="157"/>
      <c r="U46" s="157"/>
      <c r="V46" s="206"/>
      <c r="W46" s="207"/>
      <c r="Y46" s="207"/>
      <c r="Z46" s="206"/>
      <c r="AA46" s="207"/>
    </row>
    <row r="47" spans="1:28" ht="16.5" hidden="1" customHeight="1" x14ac:dyDescent="0.4">
      <c r="A47" s="14"/>
      <c r="B47" s="14"/>
      <c r="C47" s="14"/>
      <c r="D47" s="14" t="s">
        <v>341</v>
      </c>
      <c r="E47" s="157"/>
      <c r="F47" s="157"/>
      <c r="G47" s="20"/>
      <c r="H47" s="20"/>
      <c r="I47" s="20">
        <v>0</v>
      </c>
      <c r="J47" s="20"/>
      <c r="K47" s="20"/>
      <c r="L47" s="20"/>
      <c r="M47" s="20">
        <v>0</v>
      </c>
      <c r="P47" s="14"/>
      <c r="Q47" s="14"/>
      <c r="R47" s="14"/>
      <c r="S47" s="14"/>
      <c r="T47" s="157"/>
      <c r="U47" s="157"/>
      <c r="V47" s="206"/>
      <c r="W47" s="207"/>
      <c r="X47" s="207"/>
      <c r="Y47" s="207"/>
      <c r="Z47" s="206"/>
      <c r="AA47" s="207"/>
      <c r="AB47" s="207"/>
    </row>
    <row r="48" spans="1:28" ht="16.5" customHeight="1" x14ac:dyDescent="0.4">
      <c r="A48" s="14"/>
      <c r="B48" s="14"/>
      <c r="C48" s="14"/>
      <c r="D48" s="14" t="s">
        <v>199</v>
      </c>
      <c r="E48" s="157"/>
      <c r="F48" s="157"/>
      <c r="G48" s="140">
        <f>SUM(G44:G47)</f>
        <v>-32721332.460000101</v>
      </c>
      <c r="H48" s="20"/>
      <c r="I48" s="140">
        <f>SUM(I44:I47)</f>
        <v>-206396641.06</v>
      </c>
      <c r="J48" s="20"/>
      <c r="K48" s="140">
        <f>SUM(K44:K47)</f>
        <v>-36025414.140000001</v>
      </c>
      <c r="L48" s="20"/>
      <c r="M48" s="140">
        <f>SUM(M44:M47)</f>
        <v>79485747.800000027</v>
      </c>
      <c r="P48" s="14"/>
      <c r="Q48" s="14"/>
      <c r="R48" s="14"/>
      <c r="S48" s="14"/>
      <c r="T48" s="157"/>
      <c r="U48" s="157"/>
      <c r="V48" s="207"/>
      <c r="W48" s="207"/>
      <c r="X48" s="207"/>
      <c r="Y48" s="207"/>
      <c r="Z48" s="207"/>
      <c r="AA48" s="207"/>
      <c r="AB48" s="207"/>
    </row>
    <row r="49" spans="1:28" ht="16.5" customHeight="1" x14ac:dyDescent="0.4">
      <c r="A49" s="14"/>
      <c r="B49" s="14"/>
      <c r="C49" s="14"/>
      <c r="D49" s="14"/>
      <c r="E49" s="157"/>
      <c r="F49" s="157"/>
      <c r="G49" s="123"/>
      <c r="H49" s="123"/>
      <c r="I49" s="123"/>
      <c r="J49" s="123"/>
      <c r="K49" s="123"/>
      <c r="L49" s="123"/>
      <c r="M49" s="123"/>
      <c r="P49" s="14"/>
      <c r="Q49" s="14"/>
      <c r="R49" s="14"/>
      <c r="S49" s="14"/>
      <c r="T49" s="157"/>
      <c r="U49" s="157"/>
      <c r="V49" s="207"/>
      <c r="W49" s="207"/>
      <c r="X49" s="207"/>
      <c r="Y49" s="207"/>
      <c r="Z49" s="207"/>
      <c r="AA49" s="207"/>
      <c r="AB49" s="207"/>
    </row>
    <row r="50" spans="1:28" ht="16.5" customHeight="1" x14ac:dyDescent="0.4">
      <c r="A50" s="14" t="s">
        <v>373</v>
      </c>
      <c r="B50" s="14"/>
      <c r="C50" s="14"/>
      <c r="D50" s="14"/>
      <c r="E50" s="157"/>
      <c r="F50" s="157"/>
      <c r="G50" s="123"/>
      <c r="H50" s="123"/>
      <c r="I50" s="123"/>
      <c r="J50" s="123"/>
      <c r="K50" s="123"/>
      <c r="L50" s="123"/>
      <c r="M50" s="123"/>
      <c r="P50" s="8"/>
      <c r="Q50" s="14"/>
      <c r="R50" s="14"/>
      <c r="S50" s="14"/>
      <c r="T50" s="157"/>
      <c r="U50" s="157"/>
      <c r="V50" s="207"/>
      <c r="W50" s="207"/>
      <c r="X50" s="207"/>
      <c r="Y50" s="207"/>
      <c r="Z50" s="207"/>
      <c r="AA50" s="207"/>
      <c r="AB50" s="207"/>
    </row>
    <row r="51" spans="1:28" ht="16.5" customHeight="1" x14ac:dyDescent="0.4">
      <c r="A51" s="14"/>
      <c r="B51" s="14"/>
      <c r="C51" s="14"/>
      <c r="D51" s="14"/>
      <c r="E51" s="157"/>
      <c r="F51" s="157"/>
      <c r="G51" s="123"/>
      <c r="H51" s="123"/>
      <c r="I51" s="123"/>
      <c r="J51" s="123"/>
      <c r="K51" s="123"/>
      <c r="L51" s="123"/>
      <c r="M51" s="123"/>
      <c r="P51" s="8"/>
      <c r="Q51" s="14"/>
      <c r="R51" s="14"/>
      <c r="S51" s="14"/>
      <c r="T51" s="157"/>
      <c r="U51" s="157"/>
      <c r="V51" s="207"/>
      <c r="W51" s="207"/>
      <c r="X51" s="207"/>
      <c r="Y51" s="207"/>
      <c r="Z51" s="207"/>
      <c r="AA51" s="207"/>
      <c r="AB51" s="207"/>
    </row>
    <row r="52" spans="1:28" ht="16.5" customHeight="1" x14ac:dyDescent="0.4">
      <c r="A52" s="14"/>
      <c r="B52" s="14"/>
      <c r="C52" s="14"/>
      <c r="D52" s="14"/>
      <c r="E52" s="157"/>
      <c r="F52" s="157"/>
      <c r="G52" s="123"/>
      <c r="H52" s="123"/>
      <c r="I52" s="123"/>
      <c r="J52" s="123"/>
      <c r="K52" s="123"/>
      <c r="L52" s="123"/>
      <c r="M52" s="123"/>
      <c r="P52" s="8"/>
      <c r="Q52" s="14"/>
      <c r="R52" s="14"/>
      <c r="S52" s="14"/>
      <c r="T52" s="157"/>
      <c r="U52" s="157"/>
      <c r="V52" s="207"/>
      <c r="W52" s="207"/>
      <c r="X52" s="207"/>
      <c r="Y52" s="207"/>
      <c r="Z52" s="207"/>
      <c r="AA52" s="207"/>
      <c r="AB52" s="207"/>
    </row>
    <row r="53" spans="1:28" ht="16.5" customHeight="1" x14ac:dyDescent="0.4">
      <c r="A53" s="14"/>
      <c r="B53" s="14"/>
      <c r="C53" s="14"/>
      <c r="D53" s="14"/>
      <c r="E53" s="157"/>
      <c r="F53" s="157"/>
      <c r="G53" s="123"/>
      <c r="H53" s="123"/>
      <c r="I53" s="123"/>
      <c r="J53" s="123"/>
      <c r="K53" s="123"/>
      <c r="L53" s="123"/>
      <c r="M53" s="123"/>
      <c r="P53" s="8"/>
      <c r="Q53" s="14"/>
      <c r="R53" s="14"/>
      <c r="S53" s="14"/>
      <c r="T53" s="157"/>
      <c r="U53" s="157"/>
      <c r="V53" s="207"/>
      <c r="W53" s="207"/>
      <c r="X53" s="207"/>
      <c r="Y53" s="207"/>
      <c r="Z53" s="207"/>
      <c r="AA53" s="207"/>
      <c r="AB53" s="207"/>
    </row>
    <row r="54" spans="1:28" ht="16.5" customHeight="1" x14ac:dyDescent="0.4">
      <c r="A54" s="14"/>
      <c r="B54" s="14"/>
      <c r="C54" s="14"/>
      <c r="D54" s="14"/>
      <c r="E54" s="157"/>
      <c r="F54" s="157"/>
      <c r="G54" s="123"/>
      <c r="H54" s="123"/>
      <c r="I54" s="123"/>
      <c r="J54" s="123"/>
      <c r="K54" s="123"/>
      <c r="L54" s="123"/>
      <c r="M54" s="123"/>
      <c r="P54" s="8"/>
      <c r="Q54" s="14"/>
      <c r="R54" s="14"/>
      <c r="S54" s="14"/>
      <c r="T54" s="157"/>
      <c r="U54" s="157"/>
      <c r="V54" s="207"/>
      <c r="W54" s="207"/>
      <c r="X54" s="207"/>
      <c r="Y54" s="207"/>
      <c r="Z54" s="207"/>
      <c r="AA54" s="207"/>
      <c r="AB54" s="207"/>
    </row>
    <row r="55" spans="1:28" ht="16.5" customHeight="1" x14ac:dyDescent="0.4">
      <c r="A55" s="14"/>
      <c r="B55" s="14"/>
      <c r="C55" s="14"/>
      <c r="D55" s="14"/>
      <c r="E55" s="157"/>
      <c r="F55" s="157"/>
      <c r="G55" s="123"/>
      <c r="H55" s="123"/>
      <c r="I55" s="123"/>
      <c r="J55" s="123"/>
      <c r="K55" s="123"/>
      <c r="L55" s="123"/>
      <c r="M55" s="123"/>
      <c r="P55" s="8"/>
      <c r="Q55" s="14"/>
      <c r="R55" s="14"/>
      <c r="S55" s="14"/>
      <c r="T55" s="157"/>
      <c r="U55" s="157"/>
      <c r="V55" s="207"/>
      <c r="W55" s="207"/>
      <c r="X55" s="207"/>
      <c r="Y55" s="207"/>
      <c r="Z55" s="207"/>
      <c r="AA55" s="207"/>
      <c r="AB55" s="207"/>
    </row>
    <row r="56" spans="1:28" ht="16.5" customHeight="1" x14ac:dyDescent="0.4">
      <c r="A56" s="14"/>
      <c r="B56" s="14"/>
      <c r="C56" s="14"/>
      <c r="D56" s="14"/>
      <c r="E56" s="157"/>
      <c r="F56" s="157"/>
      <c r="G56" s="123"/>
      <c r="H56" s="123"/>
      <c r="I56" s="123"/>
      <c r="J56" s="123"/>
      <c r="K56" s="123"/>
      <c r="L56" s="123"/>
      <c r="M56" s="123"/>
      <c r="P56" s="8"/>
      <c r="Q56" s="14"/>
      <c r="R56" s="14"/>
      <c r="S56" s="14"/>
      <c r="T56" s="157"/>
      <c r="U56" s="157"/>
      <c r="V56" s="207"/>
      <c r="W56" s="207"/>
      <c r="X56" s="207"/>
      <c r="Y56" s="207"/>
      <c r="Z56" s="207"/>
      <c r="AA56" s="207"/>
      <c r="AB56" s="207"/>
    </row>
    <row r="57" spans="1:28" ht="16.5" customHeight="1" x14ac:dyDescent="0.4">
      <c r="A57" s="14"/>
      <c r="B57" s="14"/>
      <c r="C57" s="14"/>
      <c r="D57" s="14"/>
      <c r="E57" s="157"/>
      <c r="F57" s="157"/>
      <c r="G57" s="123"/>
      <c r="H57" s="123"/>
      <c r="I57" s="123"/>
      <c r="J57" s="123"/>
      <c r="K57" s="123"/>
      <c r="L57" s="123"/>
      <c r="M57" s="123"/>
      <c r="P57" s="8"/>
      <c r="Q57" s="14"/>
      <c r="R57" s="14"/>
      <c r="S57" s="14"/>
      <c r="T57" s="157"/>
      <c r="U57" s="157"/>
      <c r="V57" s="207"/>
      <c r="W57" s="207"/>
      <c r="X57" s="207"/>
      <c r="Y57" s="207"/>
      <c r="Z57" s="207"/>
      <c r="AA57" s="207"/>
      <c r="AB57" s="207"/>
    </row>
    <row r="58" spans="1:28" ht="16.5" customHeight="1" x14ac:dyDescent="0.45">
      <c r="A58" s="246"/>
      <c r="G58" s="282"/>
      <c r="H58" s="282"/>
      <c r="I58" s="282"/>
      <c r="J58" s="282"/>
      <c r="L58" s="282"/>
      <c r="M58" s="282"/>
      <c r="P58" s="12"/>
      <c r="Q58" s="23"/>
      <c r="R58" s="12"/>
      <c r="S58" s="23"/>
      <c r="U58" s="23"/>
      <c r="V58" s="12"/>
      <c r="W58" s="12"/>
      <c r="X58" s="12"/>
      <c r="Y58" s="12"/>
      <c r="Z58" s="12"/>
      <c r="AA58" s="12"/>
      <c r="AB58" s="12"/>
    </row>
    <row r="59" spans="1:28" ht="16.5" customHeight="1" x14ac:dyDescent="0.4">
      <c r="A59" s="12"/>
      <c r="B59" s="23" t="s">
        <v>145</v>
      </c>
      <c r="C59" s="12"/>
      <c r="D59" s="23"/>
      <c r="G59" s="283"/>
      <c r="H59" s="23" t="s">
        <v>145</v>
      </c>
      <c r="I59" s="283"/>
      <c r="J59" s="283"/>
      <c r="K59" s="283"/>
      <c r="L59" s="283"/>
      <c r="M59" s="283"/>
      <c r="P59" s="12"/>
      <c r="Q59" s="23"/>
      <c r="R59" s="12"/>
      <c r="S59" s="23"/>
      <c r="U59" s="23"/>
      <c r="V59" s="12"/>
      <c r="W59" s="12"/>
      <c r="X59" s="12"/>
      <c r="Y59" s="12"/>
      <c r="Z59" s="12"/>
      <c r="AA59" s="12"/>
      <c r="AB59" s="12"/>
    </row>
    <row r="60" spans="1:28" ht="8.25" customHeight="1" x14ac:dyDescent="0.4">
      <c r="A60" s="309"/>
      <c r="B60" s="309"/>
      <c r="C60" s="309"/>
      <c r="D60" s="309"/>
      <c r="E60" s="309"/>
      <c r="F60" s="309"/>
      <c r="G60" s="309"/>
      <c r="H60" s="309"/>
      <c r="I60" s="309"/>
      <c r="J60" s="309"/>
      <c r="K60" s="309"/>
      <c r="L60" s="309"/>
      <c r="M60" s="309"/>
      <c r="P60" s="12"/>
      <c r="Q60" s="23"/>
      <c r="R60" s="12"/>
      <c r="S60" s="23"/>
      <c r="U60" s="23"/>
      <c r="V60" s="12"/>
      <c r="W60" s="12"/>
      <c r="X60" s="12"/>
      <c r="Y60" s="12"/>
      <c r="Z60" s="302"/>
      <c r="AA60" s="302"/>
      <c r="AB60" s="302"/>
    </row>
    <row r="61" spans="1:28" ht="16.5" customHeight="1" x14ac:dyDescent="0.4">
      <c r="A61" s="17" t="s">
        <v>184</v>
      </c>
      <c r="B61" s="14"/>
      <c r="C61" s="14"/>
      <c r="D61" s="14"/>
      <c r="E61" s="157"/>
      <c r="F61" s="157"/>
      <c r="G61" s="13"/>
      <c r="H61" s="20"/>
      <c r="I61" s="13"/>
      <c r="J61" s="20"/>
      <c r="K61" s="13"/>
      <c r="L61" s="20"/>
      <c r="M61" s="13"/>
      <c r="P61" s="303"/>
      <c r="Q61" s="303"/>
      <c r="R61" s="303"/>
      <c r="S61" s="303"/>
      <c r="T61" s="303"/>
      <c r="U61" s="303"/>
      <c r="V61" s="303"/>
      <c r="W61" s="303"/>
      <c r="X61" s="303"/>
      <c r="Y61" s="303"/>
      <c r="Z61" s="303"/>
      <c r="AA61" s="303"/>
      <c r="AB61" s="303"/>
    </row>
    <row r="62" spans="1:28" ht="16.5" hidden="1" customHeight="1" x14ac:dyDescent="0.4">
      <c r="A62" s="247"/>
      <c r="C62" s="14" t="s">
        <v>343</v>
      </c>
      <c r="D62" s="14"/>
      <c r="E62" s="157">
        <v>9</v>
      </c>
      <c r="F62" s="157"/>
      <c r="G62" s="13"/>
      <c r="H62" s="13"/>
      <c r="I62" s="13">
        <v>0</v>
      </c>
      <c r="J62" s="13"/>
      <c r="K62" s="13"/>
      <c r="L62" s="13"/>
      <c r="M62" s="13">
        <v>0</v>
      </c>
      <c r="P62" s="302"/>
      <c r="Q62" s="302"/>
      <c r="R62" s="302"/>
      <c r="S62" s="302"/>
      <c r="T62" s="302"/>
      <c r="U62" s="302"/>
      <c r="V62" s="302"/>
      <c r="W62" s="302"/>
      <c r="X62" s="302"/>
      <c r="Y62" s="302"/>
      <c r="Z62" s="302"/>
      <c r="AA62" s="302"/>
      <c r="AB62" s="302"/>
    </row>
    <row r="63" spans="1:28" ht="16.5" hidden="1" customHeight="1" x14ac:dyDescent="0.4">
      <c r="A63" s="247"/>
      <c r="C63" s="14" t="s">
        <v>345</v>
      </c>
      <c r="D63" s="14"/>
      <c r="E63" s="157">
        <v>10</v>
      </c>
      <c r="F63" s="157"/>
      <c r="G63" s="13"/>
      <c r="H63" s="13"/>
      <c r="I63" s="13">
        <v>0</v>
      </c>
      <c r="J63" s="13"/>
      <c r="K63" s="13"/>
      <c r="L63" s="13"/>
      <c r="M63" s="13">
        <v>0</v>
      </c>
      <c r="P63" s="302"/>
      <c r="Q63" s="302"/>
      <c r="R63" s="302"/>
      <c r="S63" s="302"/>
      <c r="T63" s="302"/>
      <c r="U63" s="302"/>
      <c r="V63" s="302"/>
      <c r="W63" s="302"/>
      <c r="X63" s="302"/>
      <c r="Y63" s="302"/>
      <c r="Z63" s="302"/>
      <c r="AA63" s="302"/>
      <c r="AB63" s="302"/>
    </row>
    <row r="64" spans="1:28" ht="16.5" customHeight="1" x14ac:dyDescent="0.4">
      <c r="A64" s="247"/>
      <c r="C64" s="14" t="s">
        <v>329</v>
      </c>
      <c r="D64" s="14"/>
      <c r="E64" s="157">
        <v>11</v>
      </c>
      <c r="F64" s="157"/>
      <c r="G64" s="13">
        <v>1.07</v>
      </c>
      <c r="H64" s="13"/>
      <c r="I64" s="17">
        <v>-38.15</v>
      </c>
      <c r="J64" s="13"/>
      <c r="K64" s="13">
        <v>0</v>
      </c>
      <c r="L64" s="13"/>
      <c r="M64" s="208">
        <v>0</v>
      </c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</row>
    <row r="65" spans="1:28" s="14" customFormat="1" ht="16.5" customHeight="1" x14ac:dyDescent="0.4">
      <c r="C65" s="17" t="s">
        <v>307</v>
      </c>
      <c r="E65" s="12">
        <v>14</v>
      </c>
      <c r="F65" s="157"/>
      <c r="G65" s="13">
        <v>-112280.6</v>
      </c>
      <c r="H65" s="13"/>
      <c r="I65" s="17">
        <v>-82750</v>
      </c>
      <c r="J65" s="13"/>
      <c r="K65" s="13">
        <v>-112280.6</v>
      </c>
      <c r="L65" s="13"/>
      <c r="M65" s="17">
        <v>-82750</v>
      </c>
      <c r="P65" s="7"/>
      <c r="Q65" s="7"/>
      <c r="R65" s="7"/>
      <c r="S65" s="7"/>
      <c r="T65" s="7"/>
      <c r="U65" s="7"/>
      <c r="V65" s="302"/>
      <c r="W65" s="302"/>
      <c r="X65" s="302"/>
      <c r="Y65" s="302"/>
      <c r="Z65" s="302"/>
      <c r="AA65" s="302"/>
      <c r="AB65" s="302"/>
    </row>
    <row r="66" spans="1:28" s="14" customFormat="1" ht="16.5" customHeight="1" x14ac:dyDescent="0.4">
      <c r="C66" s="8" t="s">
        <v>258</v>
      </c>
      <c r="E66" s="158" t="s">
        <v>381</v>
      </c>
      <c r="F66" s="157"/>
      <c r="G66" s="13">
        <v>-150000000</v>
      </c>
      <c r="H66" s="13"/>
      <c r="I66" s="17">
        <v>148850000</v>
      </c>
      <c r="J66" s="13"/>
      <c r="K66" s="13">
        <v>-150000000</v>
      </c>
      <c r="L66" s="13"/>
      <c r="M66" s="17">
        <v>148850000</v>
      </c>
      <c r="P66" s="17"/>
      <c r="Q66" s="17"/>
      <c r="R66" s="17"/>
      <c r="S66" s="17"/>
      <c r="T66" s="12"/>
      <c r="U66" s="12"/>
      <c r="V66" s="302"/>
      <c r="W66" s="302"/>
      <c r="X66" s="302"/>
      <c r="Y66" s="7"/>
      <c r="Z66" s="302"/>
      <c r="AA66" s="302"/>
      <c r="AB66" s="302"/>
    </row>
    <row r="67" spans="1:28" s="14" customFormat="1" ht="16.5" customHeight="1" x14ac:dyDescent="0.4">
      <c r="C67" s="8" t="s">
        <v>259</v>
      </c>
      <c r="E67" s="12">
        <v>2.4</v>
      </c>
      <c r="F67" s="157"/>
      <c r="G67" s="13">
        <v>0</v>
      </c>
      <c r="H67" s="13"/>
      <c r="I67" s="13">
        <v>0</v>
      </c>
      <c r="J67" s="13"/>
      <c r="K67" s="13">
        <v>2505451.0299999998</v>
      </c>
      <c r="L67" s="13"/>
      <c r="M67" s="17">
        <v>-193089991.28999999</v>
      </c>
      <c r="P67" s="17"/>
      <c r="Q67" s="17"/>
      <c r="R67" s="17"/>
      <c r="S67" s="17"/>
      <c r="T67" s="12"/>
      <c r="U67" s="12"/>
      <c r="V67" s="301"/>
      <c r="W67" s="301"/>
      <c r="X67" s="301"/>
      <c r="Y67" s="8"/>
      <c r="Z67" s="301"/>
      <c r="AA67" s="301"/>
      <c r="AB67" s="301"/>
    </row>
    <row r="68" spans="1:28" s="14" customFormat="1" ht="16.5" hidden="1" customHeight="1" x14ac:dyDescent="0.4">
      <c r="C68" s="8" t="s">
        <v>337</v>
      </c>
      <c r="E68" s="158"/>
      <c r="F68" s="157"/>
      <c r="G68" s="13"/>
      <c r="H68" s="13"/>
      <c r="I68" s="13">
        <v>0</v>
      </c>
      <c r="J68" s="13"/>
      <c r="K68" s="13"/>
      <c r="L68" s="13"/>
      <c r="M68" s="13">
        <v>0</v>
      </c>
      <c r="P68" s="17"/>
      <c r="Q68" s="17"/>
      <c r="R68" s="17"/>
      <c r="S68" s="17"/>
      <c r="T68" s="12"/>
      <c r="U68" s="12"/>
      <c r="V68" s="227"/>
      <c r="W68" s="12"/>
      <c r="X68" s="227"/>
      <c r="Y68" s="227"/>
      <c r="Z68" s="227"/>
      <c r="AA68" s="12"/>
      <c r="AB68" s="227"/>
    </row>
    <row r="69" spans="1:28" ht="16.5" customHeight="1" x14ac:dyDescent="0.4">
      <c r="A69" s="14"/>
      <c r="B69" s="14"/>
      <c r="C69" s="14"/>
      <c r="D69" s="17" t="s">
        <v>275</v>
      </c>
      <c r="E69" s="157"/>
      <c r="F69" s="157"/>
      <c r="G69" s="140">
        <f>SUM(G62:G68)</f>
        <v>-150112279.53</v>
      </c>
      <c r="H69" s="20"/>
      <c r="I69" s="140">
        <f>SUM(I62:I68)</f>
        <v>148767211.84999999</v>
      </c>
      <c r="J69" s="20"/>
      <c r="K69" s="140">
        <f>SUM(K62:K68)</f>
        <v>-147606829.56999999</v>
      </c>
      <c r="L69" s="20"/>
      <c r="M69" s="140">
        <f>SUM(M62:M68)</f>
        <v>-44322741.289999992</v>
      </c>
      <c r="P69" s="14"/>
      <c r="Q69" s="14"/>
      <c r="R69" s="14"/>
      <c r="S69" s="14"/>
      <c r="T69" s="157"/>
      <c r="U69" s="157"/>
      <c r="V69" s="207"/>
      <c r="W69" s="207"/>
      <c r="X69" s="207"/>
      <c r="Y69" s="207"/>
      <c r="Z69" s="207"/>
      <c r="AA69" s="207"/>
      <c r="AB69" s="207"/>
    </row>
    <row r="70" spans="1:28" ht="16.5" customHeight="1" x14ac:dyDescent="0.4">
      <c r="A70" s="17" t="s">
        <v>194</v>
      </c>
      <c r="B70" s="14"/>
      <c r="C70" s="14"/>
      <c r="D70" s="14"/>
      <c r="E70" s="278"/>
      <c r="F70" s="157"/>
      <c r="G70" s="137"/>
      <c r="H70" s="137"/>
      <c r="I70" s="137"/>
      <c r="J70" s="137"/>
      <c r="K70" s="137"/>
      <c r="L70" s="137"/>
      <c r="M70" s="137"/>
      <c r="P70" s="14"/>
      <c r="Q70" s="14"/>
      <c r="R70" s="14"/>
      <c r="S70" s="14"/>
      <c r="T70" s="231"/>
      <c r="U70" s="157"/>
      <c r="V70" s="206"/>
      <c r="W70" s="207"/>
      <c r="X70" s="207"/>
      <c r="Y70" s="207"/>
      <c r="Z70" s="206"/>
      <c r="AA70" s="207"/>
      <c r="AB70" s="207"/>
    </row>
    <row r="71" spans="1:28" ht="16.5" customHeight="1" x14ac:dyDescent="0.4">
      <c r="A71" s="248"/>
      <c r="B71" s="14"/>
      <c r="C71" s="8" t="s">
        <v>344</v>
      </c>
      <c r="D71" s="14"/>
      <c r="E71" s="269">
        <v>24</v>
      </c>
      <c r="F71" s="157"/>
      <c r="G71" s="137">
        <v>0</v>
      </c>
      <c r="H71" s="137"/>
      <c r="I71" s="17">
        <v>-64000000</v>
      </c>
      <c r="J71" s="137"/>
      <c r="K71" s="137">
        <v>0</v>
      </c>
      <c r="L71" s="137"/>
      <c r="M71" s="17">
        <v>-64000000</v>
      </c>
      <c r="P71" s="14"/>
      <c r="Q71" s="14"/>
      <c r="R71" s="14"/>
      <c r="S71" s="14"/>
      <c r="T71" s="231"/>
      <c r="U71" s="157"/>
      <c r="V71" s="206"/>
      <c r="W71" s="207"/>
      <c r="X71" s="207"/>
      <c r="Y71" s="207"/>
      <c r="Z71" s="206"/>
      <c r="AA71" s="207"/>
      <c r="AB71" s="207"/>
    </row>
    <row r="72" spans="1:28" ht="16.5" customHeight="1" x14ac:dyDescent="0.4">
      <c r="A72" s="248"/>
      <c r="B72" s="14"/>
      <c r="C72" s="14" t="s">
        <v>330</v>
      </c>
      <c r="D72" s="14"/>
      <c r="E72" s="269">
        <v>19</v>
      </c>
      <c r="F72" s="157"/>
      <c r="G72" s="137">
        <v>100000000</v>
      </c>
      <c r="H72" s="137"/>
      <c r="I72" s="137">
        <v>0</v>
      </c>
      <c r="J72" s="137"/>
      <c r="K72" s="137">
        <v>100000000</v>
      </c>
      <c r="L72" s="137"/>
      <c r="M72" s="137">
        <v>0</v>
      </c>
      <c r="P72" s="14"/>
      <c r="Q72" s="14"/>
      <c r="R72" s="14"/>
      <c r="S72" s="14"/>
      <c r="T72" s="231"/>
      <c r="U72" s="157"/>
      <c r="V72" s="206"/>
      <c r="W72" s="207"/>
      <c r="Y72" s="207"/>
      <c r="Z72" s="206"/>
      <c r="AA72" s="207"/>
      <c r="AB72" s="207"/>
    </row>
    <row r="73" spans="1:28" ht="16.5" customHeight="1" x14ac:dyDescent="0.4">
      <c r="A73" s="248"/>
      <c r="B73" s="14"/>
      <c r="C73" s="14" t="s">
        <v>331</v>
      </c>
      <c r="D73" s="14"/>
      <c r="E73" s="269">
        <v>2.6</v>
      </c>
      <c r="F73" s="157"/>
      <c r="G73" s="137">
        <v>0</v>
      </c>
      <c r="H73" s="137"/>
      <c r="I73" s="137">
        <v>0</v>
      </c>
      <c r="J73" s="137"/>
      <c r="K73" s="137">
        <v>0</v>
      </c>
      <c r="L73" s="137"/>
      <c r="M73" s="17">
        <v>-9000000</v>
      </c>
      <c r="P73" s="14"/>
      <c r="Q73" s="14"/>
      <c r="R73" s="14"/>
      <c r="S73" s="14"/>
      <c r="T73" s="229"/>
      <c r="U73" s="157"/>
      <c r="V73" s="206"/>
      <c r="W73" s="207"/>
      <c r="Y73" s="207"/>
      <c r="Z73" s="206"/>
      <c r="AA73" s="207"/>
    </row>
    <row r="74" spans="1:28" ht="16.5" customHeight="1" x14ac:dyDescent="0.4">
      <c r="A74" s="248"/>
      <c r="B74" s="14"/>
      <c r="C74" s="8" t="s">
        <v>332</v>
      </c>
      <c r="D74" s="14"/>
      <c r="E74" s="157">
        <v>21</v>
      </c>
      <c r="F74" s="157"/>
      <c r="G74" s="284">
        <v>-204846</v>
      </c>
      <c r="H74" s="137"/>
      <c r="I74" s="279">
        <v>-204846</v>
      </c>
      <c r="J74" s="137"/>
      <c r="K74" s="284">
        <v>-204846</v>
      </c>
      <c r="L74" s="137"/>
      <c r="M74" s="279">
        <v>-204846</v>
      </c>
      <c r="P74" s="14"/>
      <c r="Q74" s="14"/>
      <c r="R74" s="14"/>
      <c r="S74" s="14"/>
      <c r="T74" s="229"/>
      <c r="U74" s="157"/>
      <c r="V74" s="206"/>
      <c r="W74" s="207"/>
      <c r="X74" s="207"/>
      <c r="Y74" s="207"/>
      <c r="Z74" s="206"/>
      <c r="AA74" s="207"/>
      <c r="AB74" s="207"/>
    </row>
    <row r="75" spans="1:28" ht="16.5" hidden="1" customHeight="1" x14ac:dyDescent="0.4">
      <c r="A75" s="248"/>
      <c r="B75" s="14"/>
      <c r="C75" s="8" t="s">
        <v>338</v>
      </c>
      <c r="D75" s="14"/>
      <c r="E75" s="157">
        <v>26</v>
      </c>
      <c r="F75" s="157"/>
      <c r="G75" s="284"/>
      <c r="H75" s="137"/>
      <c r="I75" s="284">
        <v>0</v>
      </c>
      <c r="J75" s="137"/>
      <c r="K75" s="284"/>
      <c r="L75" s="137"/>
      <c r="M75" s="284">
        <v>0</v>
      </c>
      <c r="P75" s="14"/>
      <c r="Q75" s="14"/>
      <c r="R75" s="14"/>
      <c r="S75" s="14"/>
      <c r="T75" s="229"/>
      <c r="U75" s="157"/>
      <c r="V75" s="206"/>
      <c r="W75" s="207"/>
      <c r="X75" s="207"/>
      <c r="Y75" s="207"/>
      <c r="Z75" s="206"/>
      <c r="AA75" s="207"/>
      <c r="AB75" s="207"/>
    </row>
    <row r="76" spans="1:28" ht="16.5" customHeight="1" x14ac:dyDescent="0.4">
      <c r="A76" s="14"/>
      <c r="B76" s="14"/>
      <c r="C76" s="14"/>
      <c r="D76" s="17" t="s">
        <v>198</v>
      </c>
      <c r="E76" s="157"/>
      <c r="F76" s="157"/>
      <c r="G76" s="138">
        <f>SUM(G71:G75)</f>
        <v>99795154</v>
      </c>
      <c r="H76" s="20"/>
      <c r="I76" s="138">
        <f>SUM(I71:I75)</f>
        <v>-64204846</v>
      </c>
      <c r="J76" s="20"/>
      <c r="K76" s="138">
        <f>SUM(K71:K75)</f>
        <v>99795154</v>
      </c>
      <c r="L76" s="20"/>
      <c r="M76" s="138">
        <f>SUM(M71:M75)</f>
        <v>-73204846</v>
      </c>
      <c r="P76" s="14"/>
      <c r="Q76" s="14"/>
      <c r="S76" s="14"/>
      <c r="T76" s="229"/>
      <c r="U76" s="157"/>
      <c r="V76" s="206"/>
      <c r="W76" s="207"/>
      <c r="X76" s="14"/>
      <c r="Y76" s="207"/>
      <c r="Z76" s="206"/>
      <c r="AA76" s="207"/>
      <c r="AB76" s="14"/>
    </row>
    <row r="77" spans="1:28" ht="16.5" customHeight="1" x14ac:dyDescent="0.4">
      <c r="A77" s="14" t="s">
        <v>172</v>
      </c>
      <c r="B77" s="14"/>
      <c r="C77" s="14"/>
      <c r="D77" s="14"/>
      <c r="E77" s="157"/>
      <c r="F77" s="157"/>
      <c r="G77" s="138">
        <v>-445901.9</v>
      </c>
      <c r="H77" s="20"/>
      <c r="I77" s="209">
        <v>27139914.07</v>
      </c>
      <c r="J77" s="20"/>
      <c r="K77" s="138">
        <v>0</v>
      </c>
      <c r="L77" s="20"/>
      <c r="M77" s="138">
        <v>0</v>
      </c>
      <c r="P77" s="14"/>
      <c r="Q77" s="14"/>
      <c r="S77" s="14"/>
      <c r="T77" s="230"/>
      <c r="U77" s="157"/>
      <c r="V77" s="206"/>
      <c r="W77" s="207"/>
      <c r="X77" s="207"/>
      <c r="Y77" s="207"/>
      <c r="Z77" s="206"/>
      <c r="AA77" s="207"/>
    </row>
    <row r="78" spans="1:28" ht="16.5" customHeight="1" x14ac:dyDescent="0.4">
      <c r="A78" s="17" t="s">
        <v>185</v>
      </c>
      <c r="B78" s="14"/>
      <c r="C78" s="14"/>
      <c r="D78" s="14"/>
      <c r="E78" s="157"/>
      <c r="F78" s="157"/>
      <c r="G78" s="141">
        <f>+G76+G69+G48+G77</f>
        <v>-83484359.890000105</v>
      </c>
      <c r="H78" s="13"/>
      <c r="I78" s="141">
        <f>+I76+I69+I48+I77</f>
        <v>-94694361.140000015</v>
      </c>
      <c r="J78" s="13"/>
      <c r="K78" s="141">
        <f>+K76+K69+K48+K77</f>
        <v>-83837089.709999993</v>
      </c>
      <c r="L78" s="13"/>
      <c r="M78" s="141">
        <f>+M76+M69+M48+M77</f>
        <v>-38041839.489999965</v>
      </c>
      <c r="P78" s="14"/>
      <c r="Q78" s="14"/>
      <c r="R78" s="14"/>
      <c r="S78" s="14"/>
      <c r="U78" s="157"/>
      <c r="V78" s="206"/>
      <c r="W78" s="207"/>
      <c r="X78" s="207"/>
      <c r="Y78" s="207"/>
      <c r="Z78" s="206"/>
      <c r="AA78" s="207"/>
      <c r="AB78" s="207"/>
    </row>
    <row r="79" spans="1:28" ht="16.5" customHeight="1" x14ac:dyDescent="0.4">
      <c r="A79" s="17" t="s">
        <v>316</v>
      </c>
      <c r="B79" s="14"/>
      <c r="C79" s="14"/>
      <c r="D79" s="14"/>
      <c r="E79" s="157"/>
      <c r="F79" s="157"/>
      <c r="G79" s="141">
        <v>226065834.77000001</v>
      </c>
      <c r="H79" s="13"/>
      <c r="I79" s="141">
        <v>414056925.31999999</v>
      </c>
      <c r="J79" s="13"/>
      <c r="K79" s="13">
        <v>117400641.78</v>
      </c>
      <c r="L79" s="13"/>
      <c r="M79" s="13">
        <v>290505114.75999999</v>
      </c>
      <c r="O79" s="10"/>
      <c r="P79" s="14"/>
      <c r="Q79" s="14"/>
      <c r="R79" s="14"/>
      <c r="S79" s="14"/>
      <c r="T79" s="157"/>
      <c r="U79" s="157"/>
      <c r="V79" s="207"/>
      <c r="W79" s="207"/>
      <c r="X79" s="207"/>
      <c r="Y79" s="207"/>
      <c r="Z79" s="207"/>
      <c r="AA79" s="207"/>
      <c r="AB79" s="207"/>
    </row>
    <row r="80" spans="1:28" ht="16.5" customHeight="1" thickBot="1" x14ac:dyDescent="0.45">
      <c r="A80" s="17" t="s">
        <v>317</v>
      </c>
      <c r="B80" s="14"/>
      <c r="C80" s="14"/>
      <c r="D80" s="14"/>
      <c r="E80" s="157"/>
      <c r="F80" s="157"/>
      <c r="G80" s="142">
        <f>SUM(G78:G79)</f>
        <v>142581474.87999991</v>
      </c>
      <c r="H80" s="13"/>
      <c r="I80" s="142">
        <f>SUM(I78:I79)</f>
        <v>319362564.17999995</v>
      </c>
      <c r="J80" s="13"/>
      <c r="K80" s="142">
        <f>SUM(K78:K79)</f>
        <v>33563552.070000008</v>
      </c>
      <c r="L80" s="13"/>
      <c r="M80" s="142">
        <f>SUM(M78:M79)</f>
        <v>252463275.27000004</v>
      </c>
      <c r="P80" s="14"/>
      <c r="Q80" s="14"/>
      <c r="R80" s="14"/>
      <c r="S80" s="14"/>
      <c r="T80" s="157"/>
      <c r="U80" s="157"/>
      <c r="V80" s="207"/>
      <c r="W80" s="207"/>
      <c r="X80" s="207"/>
      <c r="Y80" s="207"/>
      <c r="Z80" s="207"/>
      <c r="AA80" s="207"/>
      <c r="AB80" s="207"/>
    </row>
    <row r="81" spans="1:28" ht="16.5" customHeight="1" thickTop="1" x14ac:dyDescent="0.4">
      <c r="E81" s="7"/>
      <c r="F81" s="7"/>
      <c r="G81" s="137"/>
      <c r="H81" s="137"/>
      <c r="I81" s="137"/>
      <c r="J81" s="137"/>
      <c r="K81" s="137"/>
      <c r="L81" s="137"/>
      <c r="M81" s="137"/>
      <c r="P81" s="14"/>
      <c r="Q81" s="8"/>
      <c r="R81" s="14"/>
      <c r="S81" s="14"/>
      <c r="T81" s="229"/>
      <c r="U81" s="157"/>
      <c r="V81" s="206"/>
      <c r="W81" s="207"/>
      <c r="Y81" s="207"/>
      <c r="Z81" s="206"/>
      <c r="AA81" s="207"/>
    </row>
    <row r="82" spans="1:28" ht="16.5" customHeight="1" x14ac:dyDescent="0.4">
      <c r="A82" s="17" t="s">
        <v>299</v>
      </c>
      <c r="E82" s="158"/>
      <c r="F82" s="7"/>
      <c r="G82" s="122"/>
      <c r="H82" s="122"/>
      <c r="I82" s="122"/>
      <c r="J82" s="122"/>
      <c r="K82" s="122"/>
      <c r="L82" s="122"/>
      <c r="M82" s="122"/>
      <c r="P82" s="14"/>
      <c r="Q82" s="14"/>
      <c r="R82" s="14"/>
      <c r="S82" s="14"/>
      <c r="T82" s="229"/>
      <c r="U82" s="157"/>
      <c r="V82" s="206"/>
      <c r="W82" s="207"/>
      <c r="X82" s="207"/>
      <c r="Y82" s="207"/>
      <c r="Z82" s="206"/>
      <c r="AA82" s="207"/>
      <c r="AB82" s="207"/>
    </row>
    <row r="83" spans="1:28" ht="16.5" customHeight="1" x14ac:dyDescent="0.4">
      <c r="B83" s="249" t="s">
        <v>346</v>
      </c>
      <c r="E83" s="158" t="s">
        <v>339</v>
      </c>
      <c r="F83" s="7"/>
      <c r="G83" s="13">
        <v>17237581.760000002</v>
      </c>
      <c r="H83" s="13"/>
      <c r="I83" s="13">
        <v>175366753.66</v>
      </c>
      <c r="J83" s="13"/>
      <c r="K83" s="13">
        <v>-10299.030000000001</v>
      </c>
      <c r="L83" s="13"/>
      <c r="M83" s="13">
        <v>18873.63</v>
      </c>
      <c r="P83" s="14"/>
      <c r="Q83" s="14"/>
      <c r="R83" s="14"/>
      <c r="S83" s="14"/>
      <c r="T83" s="230"/>
      <c r="U83" s="157"/>
      <c r="V83" s="206"/>
      <c r="W83" s="207"/>
      <c r="X83" s="207"/>
      <c r="Y83" s="207"/>
      <c r="Z83" s="206"/>
      <c r="AA83" s="207"/>
      <c r="AB83" s="14"/>
    </row>
    <row r="84" spans="1:28" ht="16.5" customHeight="1" x14ac:dyDescent="0.4">
      <c r="B84" s="17" t="s">
        <v>347</v>
      </c>
      <c r="E84" s="158" t="s">
        <v>369</v>
      </c>
      <c r="F84" s="7"/>
      <c r="G84" s="13">
        <v>0</v>
      </c>
      <c r="H84" s="122"/>
      <c r="I84" s="13">
        <v>72141803.209999993</v>
      </c>
      <c r="J84" s="13"/>
      <c r="K84" s="13">
        <v>0</v>
      </c>
      <c r="L84" s="13"/>
      <c r="M84" s="13">
        <v>0</v>
      </c>
      <c r="P84" s="14"/>
      <c r="Q84" s="8"/>
      <c r="R84" s="14"/>
      <c r="S84" s="14"/>
      <c r="T84" s="229"/>
      <c r="U84" s="157"/>
      <c r="V84" s="206"/>
      <c r="W84" s="207"/>
      <c r="X84" s="14"/>
      <c r="Y84" s="207"/>
      <c r="Z84" s="206"/>
      <c r="AA84" s="207"/>
      <c r="AB84" s="14"/>
    </row>
    <row r="85" spans="1:28" ht="16.5" customHeight="1" x14ac:dyDescent="0.4">
      <c r="B85" s="14"/>
      <c r="E85" s="158"/>
      <c r="F85" s="7"/>
      <c r="G85" s="122"/>
      <c r="H85" s="122"/>
      <c r="I85" s="122"/>
      <c r="J85" s="122"/>
      <c r="K85" s="122"/>
      <c r="L85" s="122"/>
      <c r="M85" s="122"/>
      <c r="P85" s="14"/>
      <c r="Q85" s="8"/>
      <c r="R85" s="14"/>
      <c r="S85" s="14"/>
      <c r="T85" s="229"/>
      <c r="U85" s="157"/>
      <c r="V85" s="206"/>
      <c r="W85" s="207"/>
      <c r="X85" s="207"/>
      <c r="Y85" s="207"/>
      <c r="Z85" s="206"/>
      <c r="AA85" s="207"/>
      <c r="AB85" s="207"/>
    </row>
    <row r="86" spans="1:28" ht="16.5" customHeight="1" x14ac:dyDescent="0.4">
      <c r="A86" s="14" t="s">
        <v>373</v>
      </c>
      <c r="B86" s="8"/>
      <c r="E86" s="158"/>
      <c r="F86" s="7"/>
      <c r="G86" s="122"/>
      <c r="H86" s="122"/>
      <c r="I86" s="122"/>
      <c r="J86" s="122"/>
      <c r="K86" s="122"/>
      <c r="L86" s="122"/>
      <c r="M86" s="122"/>
      <c r="P86" s="14"/>
      <c r="Q86" s="8"/>
      <c r="R86" s="14"/>
      <c r="S86" s="14"/>
      <c r="T86" s="229"/>
      <c r="U86" s="157"/>
      <c r="V86" s="206"/>
      <c r="W86" s="207"/>
      <c r="X86" s="207"/>
      <c r="Y86" s="207"/>
      <c r="Z86" s="206"/>
      <c r="AA86" s="207"/>
      <c r="AB86" s="207"/>
    </row>
    <row r="87" spans="1:28" ht="16.5" customHeight="1" x14ac:dyDescent="0.4">
      <c r="B87" s="14"/>
      <c r="E87" s="158"/>
      <c r="F87" s="7"/>
      <c r="G87" s="122"/>
      <c r="H87" s="122"/>
      <c r="I87" s="122"/>
      <c r="J87" s="122"/>
      <c r="K87" s="122"/>
      <c r="L87" s="122"/>
      <c r="M87" s="122"/>
      <c r="P87" s="14"/>
      <c r="Q87" s="8"/>
      <c r="R87" s="14"/>
      <c r="S87" s="14"/>
      <c r="T87" s="229"/>
      <c r="U87" s="157"/>
      <c r="V87" s="206"/>
      <c r="W87" s="207"/>
      <c r="X87" s="207"/>
      <c r="Y87" s="207"/>
      <c r="Z87" s="206"/>
      <c r="AA87" s="207"/>
      <c r="AB87" s="207"/>
    </row>
    <row r="88" spans="1:28" ht="16.5" customHeight="1" x14ac:dyDescent="0.4">
      <c r="B88" s="14"/>
      <c r="E88" s="158"/>
      <c r="F88" s="7"/>
      <c r="G88" s="122"/>
      <c r="H88" s="122"/>
      <c r="I88" s="122"/>
      <c r="J88" s="122"/>
      <c r="K88" s="122"/>
      <c r="L88" s="122"/>
      <c r="M88" s="122"/>
      <c r="P88" s="14"/>
      <c r="Q88" s="14"/>
      <c r="R88" s="14"/>
      <c r="S88" s="14"/>
      <c r="T88" s="229"/>
      <c r="U88" s="157"/>
      <c r="V88" s="206"/>
      <c r="W88" s="207"/>
      <c r="X88" s="207"/>
      <c r="Y88" s="207"/>
      <c r="Z88" s="206"/>
      <c r="AA88" s="207"/>
      <c r="AB88" s="207"/>
    </row>
    <row r="89" spans="1:28" ht="16.5" customHeight="1" x14ac:dyDescent="0.4">
      <c r="B89" s="14"/>
      <c r="E89" s="158"/>
      <c r="F89" s="7"/>
      <c r="G89" s="122"/>
      <c r="H89" s="122"/>
      <c r="I89" s="122"/>
      <c r="J89" s="122"/>
      <c r="K89" s="122"/>
      <c r="L89" s="122"/>
      <c r="M89" s="122"/>
      <c r="P89" s="14"/>
      <c r="Q89" s="14"/>
      <c r="R89" s="14"/>
      <c r="S89" s="14"/>
      <c r="T89" s="229"/>
      <c r="U89" s="157"/>
      <c r="V89" s="207"/>
      <c r="W89" s="207"/>
      <c r="X89" s="207"/>
      <c r="Y89" s="207"/>
      <c r="Z89" s="207"/>
      <c r="AA89" s="207"/>
      <c r="AB89" s="207"/>
    </row>
    <row r="90" spans="1:28" ht="16.5" customHeight="1" x14ac:dyDescent="0.4">
      <c r="B90" s="14"/>
      <c r="E90" s="158"/>
      <c r="F90" s="7"/>
      <c r="G90" s="122"/>
      <c r="H90" s="122"/>
      <c r="I90" s="122"/>
      <c r="J90" s="122"/>
      <c r="K90" s="122"/>
      <c r="L90" s="122"/>
      <c r="M90" s="122"/>
      <c r="P90" s="14"/>
      <c r="Q90" s="14"/>
      <c r="R90" s="14"/>
      <c r="S90" s="14"/>
      <c r="T90" s="157"/>
      <c r="U90" s="157"/>
      <c r="V90" s="207"/>
      <c r="W90" s="207"/>
      <c r="X90" s="207"/>
      <c r="Y90" s="207"/>
      <c r="Z90" s="207"/>
      <c r="AA90" s="207"/>
      <c r="AB90" s="207"/>
    </row>
    <row r="91" spans="1:28" ht="16.5" customHeight="1" x14ac:dyDescent="0.4">
      <c r="B91" s="14"/>
      <c r="E91" s="158"/>
      <c r="F91" s="7"/>
      <c r="G91" s="122"/>
      <c r="H91" s="122"/>
      <c r="I91" s="122"/>
      <c r="J91" s="122"/>
      <c r="K91" s="122"/>
      <c r="L91" s="122"/>
      <c r="M91" s="122"/>
      <c r="P91" s="14"/>
      <c r="Q91" s="14"/>
      <c r="R91" s="14"/>
      <c r="S91" s="14"/>
      <c r="T91" s="157"/>
      <c r="U91" s="157"/>
      <c r="V91" s="207"/>
      <c r="W91" s="207"/>
      <c r="X91" s="207"/>
      <c r="Y91" s="207"/>
      <c r="Z91" s="207"/>
      <c r="AA91" s="207"/>
      <c r="AB91" s="207"/>
    </row>
    <row r="92" spans="1:28" ht="16.5" customHeight="1" x14ac:dyDescent="0.4">
      <c r="B92" s="14"/>
      <c r="E92" s="158"/>
      <c r="F92" s="7"/>
      <c r="G92" s="122"/>
      <c r="H92" s="122"/>
      <c r="I92" s="122"/>
      <c r="J92" s="122"/>
      <c r="K92" s="122"/>
      <c r="L92" s="122"/>
      <c r="M92" s="122"/>
      <c r="P92" s="14"/>
      <c r="Q92" s="14"/>
      <c r="R92" s="14"/>
      <c r="S92" s="14"/>
      <c r="T92" s="157"/>
      <c r="U92" s="157"/>
      <c r="V92" s="212"/>
      <c r="W92" s="207"/>
      <c r="X92" s="212"/>
      <c r="Y92" s="207"/>
      <c r="Z92" s="212"/>
      <c r="AA92" s="207"/>
      <c r="AB92" s="212"/>
    </row>
    <row r="93" spans="1:28" ht="16.5" customHeight="1" x14ac:dyDescent="0.4">
      <c r="B93" s="249"/>
      <c r="E93" s="158"/>
      <c r="F93" s="7"/>
      <c r="G93" s="13"/>
      <c r="H93" s="13"/>
      <c r="I93" s="13"/>
      <c r="J93" s="13"/>
      <c r="K93" s="13"/>
      <c r="L93" s="13"/>
      <c r="M93" s="13"/>
      <c r="P93" s="14"/>
      <c r="Q93" s="14"/>
      <c r="R93" s="14"/>
      <c r="S93" s="14"/>
      <c r="T93" s="157"/>
      <c r="U93" s="157"/>
      <c r="V93" s="212"/>
      <c r="W93" s="207"/>
      <c r="X93" s="212"/>
      <c r="Y93" s="207"/>
      <c r="Z93" s="207"/>
      <c r="AA93" s="207"/>
      <c r="AB93" s="207"/>
    </row>
    <row r="94" spans="1:28" ht="16.5" customHeight="1" x14ac:dyDescent="0.4">
      <c r="B94" s="249"/>
      <c r="E94" s="158"/>
      <c r="F94" s="7"/>
      <c r="G94" s="13"/>
      <c r="H94" s="13"/>
      <c r="I94" s="13"/>
      <c r="J94" s="13"/>
      <c r="K94" s="13"/>
      <c r="L94" s="13"/>
      <c r="M94" s="13"/>
      <c r="P94" s="14"/>
      <c r="Q94" s="14"/>
      <c r="R94" s="14"/>
      <c r="S94" s="14"/>
      <c r="T94" s="157"/>
      <c r="U94" s="157"/>
      <c r="V94" s="207"/>
      <c r="W94" s="207"/>
      <c r="X94" s="207"/>
      <c r="Y94" s="207"/>
      <c r="Z94" s="207"/>
      <c r="AA94" s="207"/>
      <c r="AB94" s="207"/>
    </row>
    <row r="95" spans="1:28" ht="16.5" customHeight="1" x14ac:dyDescent="0.4">
      <c r="B95" s="249"/>
      <c r="E95" s="158"/>
      <c r="F95" s="7"/>
      <c r="G95" s="13"/>
      <c r="H95" s="13"/>
      <c r="I95" s="13"/>
      <c r="J95" s="13"/>
      <c r="K95" s="13"/>
      <c r="L95" s="13"/>
      <c r="M95" s="13"/>
      <c r="P95" s="14"/>
      <c r="Q95" s="14"/>
      <c r="R95" s="14"/>
      <c r="S95" s="14"/>
      <c r="T95" s="157"/>
      <c r="U95" s="157"/>
      <c r="V95" s="207"/>
      <c r="W95" s="207"/>
      <c r="X95" s="207"/>
      <c r="Y95" s="207"/>
      <c r="Z95" s="207"/>
      <c r="AA95" s="207"/>
      <c r="AB95" s="207"/>
    </row>
    <row r="96" spans="1:28" ht="16.5" customHeight="1" x14ac:dyDescent="0.4">
      <c r="B96" s="249"/>
      <c r="E96" s="158"/>
      <c r="F96" s="7"/>
      <c r="G96" s="13"/>
      <c r="H96" s="13"/>
      <c r="I96" s="13"/>
      <c r="J96" s="13"/>
      <c r="K96" s="13"/>
      <c r="L96" s="13"/>
      <c r="M96" s="13"/>
      <c r="P96" s="14"/>
      <c r="Q96" s="14"/>
      <c r="R96" s="14"/>
      <c r="S96" s="14"/>
      <c r="T96" s="234"/>
      <c r="U96" s="234"/>
      <c r="V96" s="235"/>
      <c r="W96" s="234"/>
      <c r="X96" s="235"/>
      <c r="Y96" s="234"/>
      <c r="Z96" s="235"/>
      <c r="AA96" s="234"/>
      <c r="AB96" s="235"/>
    </row>
    <row r="97" spans="1:28" ht="16.5" customHeight="1" x14ac:dyDescent="0.4">
      <c r="E97" s="158"/>
      <c r="F97" s="7"/>
      <c r="G97" s="122"/>
      <c r="H97" s="122"/>
      <c r="I97" s="122"/>
      <c r="J97" s="122"/>
      <c r="K97" s="122"/>
      <c r="L97" s="122"/>
      <c r="M97" s="122"/>
      <c r="P97" s="14"/>
      <c r="Q97" s="14"/>
      <c r="R97" s="14"/>
      <c r="S97" s="14"/>
      <c r="T97" s="157"/>
      <c r="U97" s="234"/>
      <c r="V97" s="207"/>
      <c r="W97" s="214"/>
      <c r="X97" s="207"/>
      <c r="Y97" s="214"/>
      <c r="Z97" s="207"/>
      <c r="AA97" s="214"/>
      <c r="AB97" s="207"/>
    </row>
    <row r="98" spans="1:28" ht="16.5" customHeight="1" x14ac:dyDescent="0.4">
      <c r="E98" s="158"/>
      <c r="F98" s="7"/>
      <c r="G98" s="122"/>
      <c r="H98" s="122"/>
      <c r="I98" s="122"/>
      <c r="J98" s="122"/>
      <c r="K98" s="122"/>
      <c r="L98" s="122"/>
      <c r="M98" s="122"/>
      <c r="P98" s="14"/>
      <c r="Q98" s="14"/>
      <c r="R98" s="14"/>
      <c r="S98" s="14"/>
      <c r="T98" s="229"/>
      <c r="U98" s="234"/>
      <c r="V98" s="206"/>
      <c r="W98" s="214"/>
      <c r="X98" s="207"/>
      <c r="Y98" s="214"/>
      <c r="Z98" s="206"/>
      <c r="AA98" s="214"/>
      <c r="AB98" s="207"/>
    </row>
    <row r="99" spans="1:28" ht="16.5" customHeight="1" x14ac:dyDescent="0.4">
      <c r="E99" s="158"/>
      <c r="F99" s="7"/>
      <c r="G99" s="122"/>
      <c r="H99" s="122"/>
      <c r="I99" s="122"/>
      <c r="J99" s="122"/>
      <c r="K99" s="122"/>
      <c r="L99" s="122"/>
      <c r="M99" s="122"/>
      <c r="P99" s="14"/>
      <c r="Q99" s="14"/>
      <c r="R99" s="14"/>
      <c r="S99" s="14"/>
      <c r="T99" s="229"/>
      <c r="U99" s="234"/>
      <c r="V99" s="206"/>
      <c r="W99" s="214"/>
      <c r="X99" s="207"/>
      <c r="Y99" s="214"/>
      <c r="Z99" s="206"/>
      <c r="AA99" s="214"/>
      <c r="AB99" s="207"/>
    </row>
    <row r="100" spans="1:28" ht="16.5" customHeight="1" x14ac:dyDescent="0.4">
      <c r="E100" s="158"/>
      <c r="F100" s="7"/>
      <c r="G100" s="122"/>
      <c r="H100" s="122"/>
      <c r="I100" s="122"/>
      <c r="J100" s="122"/>
      <c r="K100" s="122"/>
      <c r="L100" s="122"/>
      <c r="M100" s="122"/>
      <c r="P100" s="14"/>
      <c r="Q100" s="14"/>
      <c r="R100" s="14"/>
      <c r="S100" s="14"/>
      <c r="T100" s="229"/>
      <c r="U100" s="234"/>
      <c r="V100" s="206"/>
      <c r="W100" s="214"/>
      <c r="X100" s="207"/>
      <c r="Y100" s="214"/>
      <c r="Z100" s="206"/>
      <c r="AA100" s="214"/>
      <c r="AB100" s="207"/>
    </row>
    <row r="101" spans="1:28" ht="16.5" customHeight="1" x14ac:dyDescent="0.4">
      <c r="E101" s="158"/>
      <c r="F101" s="7"/>
      <c r="G101" s="122"/>
      <c r="H101" s="122"/>
      <c r="I101" s="122"/>
      <c r="J101" s="122"/>
      <c r="K101" s="122"/>
      <c r="L101" s="122"/>
      <c r="M101" s="122"/>
      <c r="P101" s="14"/>
      <c r="Q101" s="14"/>
      <c r="R101" s="14"/>
      <c r="S101" s="14"/>
      <c r="T101" s="229"/>
      <c r="U101" s="234"/>
      <c r="V101" s="206"/>
      <c r="W101" s="214"/>
      <c r="X101" s="207"/>
      <c r="Y101" s="214"/>
      <c r="Z101" s="206"/>
      <c r="AA101" s="214"/>
      <c r="AB101" s="207"/>
    </row>
    <row r="102" spans="1:28" ht="16.5" customHeight="1" x14ac:dyDescent="0.4">
      <c r="E102" s="158"/>
      <c r="F102" s="7"/>
      <c r="G102" s="122"/>
      <c r="H102" s="122"/>
      <c r="I102" s="122"/>
      <c r="J102" s="122"/>
      <c r="K102" s="122"/>
      <c r="L102" s="122"/>
      <c r="M102" s="122"/>
      <c r="P102" s="14"/>
      <c r="Q102" s="14"/>
      <c r="R102" s="14"/>
      <c r="S102" s="14"/>
      <c r="T102" s="229"/>
      <c r="U102" s="234"/>
      <c r="V102" s="206"/>
      <c r="W102" s="214"/>
      <c r="X102" s="207"/>
      <c r="Y102" s="214"/>
      <c r="Z102" s="206"/>
      <c r="AA102" s="214"/>
      <c r="AB102" s="207"/>
    </row>
    <row r="103" spans="1:28" ht="16.5" customHeight="1" x14ac:dyDescent="0.4">
      <c r="E103" s="158"/>
      <c r="F103" s="7"/>
      <c r="G103" s="122"/>
      <c r="H103" s="122"/>
      <c r="I103" s="122"/>
      <c r="J103" s="122"/>
      <c r="K103" s="122"/>
      <c r="L103" s="122"/>
      <c r="M103" s="122"/>
      <c r="P103" s="14"/>
      <c r="Q103" s="14"/>
      <c r="R103" s="14"/>
      <c r="S103" s="14"/>
      <c r="T103" s="229"/>
      <c r="U103" s="234"/>
      <c r="V103" s="206"/>
      <c r="W103" s="214"/>
      <c r="X103" s="207"/>
      <c r="Y103" s="214"/>
      <c r="Z103" s="206"/>
      <c r="AA103" s="214"/>
      <c r="AB103" s="207"/>
    </row>
    <row r="104" spans="1:28" ht="16.5" customHeight="1" x14ac:dyDescent="0.4">
      <c r="E104" s="158"/>
      <c r="F104" s="7"/>
      <c r="G104" s="122"/>
      <c r="H104" s="122"/>
      <c r="I104" s="122"/>
      <c r="J104" s="122"/>
      <c r="K104" s="122"/>
      <c r="L104" s="122"/>
      <c r="M104" s="122"/>
      <c r="P104" s="14"/>
      <c r="Q104" s="14"/>
      <c r="R104" s="14"/>
      <c r="S104" s="14"/>
      <c r="T104" s="229"/>
      <c r="U104" s="234"/>
      <c r="V104" s="206"/>
      <c r="W104" s="214"/>
      <c r="X104" s="207"/>
      <c r="Y104" s="214"/>
      <c r="Z104" s="206"/>
      <c r="AA104" s="214"/>
      <c r="AB104" s="207"/>
    </row>
    <row r="105" spans="1:28" ht="16.5" customHeight="1" x14ac:dyDescent="0.4">
      <c r="E105" s="158"/>
      <c r="F105" s="7"/>
      <c r="G105" s="122"/>
      <c r="H105" s="122"/>
      <c r="I105" s="122"/>
      <c r="J105" s="122"/>
      <c r="K105" s="122"/>
      <c r="L105" s="122"/>
      <c r="M105" s="122"/>
      <c r="P105" s="14"/>
      <c r="Q105" s="14"/>
      <c r="R105" s="14"/>
      <c r="S105" s="14"/>
      <c r="T105" s="229"/>
      <c r="U105" s="234"/>
      <c r="V105" s="206"/>
      <c r="W105" s="214"/>
      <c r="X105" s="207"/>
      <c r="Y105" s="214"/>
      <c r="Z105" s="206"/>
      <c r="AA105" s="214"/>
      <c r="AB105" s="207"/>
    </row>
    <row r="106" spans="1:28" ht="16.5" customHeight="1" x14ac:dyDescent="0.4">
      <c r="E106" s="158"/>
      <c r="F106" s="7"/>
      <c r="G106" s="122"/>
      <c r="H106" s="122"/>
      <c r="I106" s="122"/>
      <c r="J106" s="122"/>
      <c r="K106" s="122"/>
      <c r="L106" s="122"/>
      <c r="M106" s="122"/>
      <c r="P106" s="14"/>
      <c r="Q106" s="14"/>
      <c r="R106" s="14"/>
      <c r="S106" s="14"/>
      <c r="T106" s="229"/>
      <c r="U106" s="234"/>
      <c r="V106" s="206"/>
      <c r="W106" s="214"/>
      <c r="X106" s="207"/>
      <c r="Y106" s="214"/>
      <c r="Z106" s="206"/>
      <c r="AA106" s="214"/>
      <c r="AB106" s="207"/>
    </row>
    <row r="107" spans="1:28" ht="16.5" customHeight="1" x14ac:dyDescent="0.4">
      <c r="F107" s="7"/>
      <c r="G107" s="122"/>
      <c r="H107" s="122"/>
      <c r="I107" s="122"/>
      <c r="J107" s="122"/>
      <c r="K107" s="122"/>
      <c r="L107" s="122"/>
      <c r="M107" s="122"/>
      <c r="P107" s="14"/>
      <c r="Q107" s="14"/>
      <c r="R107" s="14"/>
      <c r="S107" s="14"/>
      <c r="T107" s="229"/>
      <c r="U107" s="157"/>
      <c r="V107" s="206"/>
      <c r="W107" s="207"/>
      <c r="X107" s="207"/>
      <c r="Y107" s="207"/>
      <c r="Z107" s="206"/>
      <c r="AA107" s="207"/>
      <c r="AB107" s="207"/>
    </row>
    <row r="108" spans="1:28" ht="16.5" customHeight="1" x14ac:dyDescent="0.4">
      <c r="G108" s="282"/>
      <c r="H108" s="282"/>
      <c r="I108" s="282"/>
      <c r="J108" s="282"/>
      <c r="L108" s="282"/>
      <c r="M108" s="282"/>
      <c r="P108" s="14"/>
      <c r="Q108" s="14"/>
      <c r="R108" s="14"/>
      <c r="S108" s="14"/>
      <c r="T108" s="229"/>
      <c r="U108" s="157"/>
      <c r="V108" s="207"/>
      <c r="W108" s="207"/>
      <c r="X108" s="207"/>
      <c r="Y108" s="207"/>
      <c r="Z108" s="207"/>
      <c r="AA108" s="207"/>
      <c r="AB108" s="207"/>
    </row>
    <row r="109" spans="1:28" ht="16.5" customHeight="1" x14ac:dyDescent="0.45">
      <c r="A109" s="246"/>
      <c r="G109" s="282"/>
      <c r="H109" s="282"/>
      <c r="I109" s="282"/>
      <c r="J109" s="282"/>
      <c r="L109" s="282"/>
      <c r="M109" s="282"/>
      <c r="P109" s="14"/>
      <c r="Q109" s="14"/>
      <c r="R109" s="14"/>
      <c r="S109" s="14"/>
      <c r="T109" s="157"/>
      <c r="U109" s="157"/>
      <c r="V109" s="207"/>
      <c r="W109" s="207"/>
      <c r="X109" s="207"/>
      <c r="Y109" s="207"/>
      <c r="Z109" s="207"/>
      <c r="AA109" s="207"/>
      <c r="AB109" s="207"/>
    </row>
    <row r="110" spans="1:28" ht="16.5" customHeight="1" x14ac:dyDescent="0.45">
      <c r="A110" s="246"/>
      <c r="G110" s="282"/>
      <c r="H110" s="282"/>
      <c r="I110" s="282"/>
      <c r="J110" s="282"/>
      <c r="L110" s="282"/>
      <c r="M110" s="282"/>
      <c r="P110" s="8"/>
      <c r="Q110" s="14"/>
      <c r="R110" s="14"/>
      <c r="S110" s="14"/>
      <c r="T110" s="157"/>
      <c r="U110" s="157"/>
      <c r="V110" s="207"/>
      <c r="W110" s="207"/>
      <c r="X110" s="207"/>
      <c r="Y110" s="207"/>
      <c r="Z110" s="207"/>
      <c r="AA110" s="207"/>
      <c r="AB110" s="207"/>
    </row>
    <row r="111" spans="1:28" ht="16.5" customHeight="1" x14ac:dyDescent="0.4">
      <c r="A111" s="124"/>
      <c r="B111" s="23" t="s">
        <v>145</v>
      </c>
      <c r="C111" s="12"/>
      <c r="D111" s="23"/>
      <c r="G111" s="283"/>
      <c r="H111" s="23" t="s">
        <v>145</v>
      </c>
      <c r="I111" s="283"/>
      <c r="J111" s="283"/>
      <c r="K111" s="283"/>
      <c r="L111" s="283"/>
      <c r="M111" s="283"/>
      <c r="P111" s="14"/>
      <c r="Q111" s="14"/>
      <c r="R111" s="14"/>
      <c r="S111" s="14"/>
      <c r="T111" s="157"/>
      <c r="U111" s="157"/>
      <c r="V111" s="207"/>
      <c r="W111" s="207"/>
      <c r="X111" s="207"/>
      <c r="Y111" s="207"/>
      <c r="Z111" s="207"/>
      <c r="AA111" s="207"/>
      <c r="AB111" s="207"/>
    </row>
    <row r="112" spans="1:28" ht="16.5" customHeight="1" x14ac:dyDescent="0.4">
      <c r="A112" s="8"/>
      <c r="G112" s="282"/>
      <c r="H112" s="282"/>
      <c r="I112" s="282"/>
      <c r="J112" s="282"/>
      <c r="L112" s="282"/>
      <c r="M112" s="282"/>
      <c r="P112" s="14"/>
      <c r="Q112" s="14"/>
      <c r="R112" s="14"/>
      <c r="S112" s="14"/>
      <c r="T112" s="157"/>
      <c r="U112" s="157"/>
      <c r="V112" s="207"/>
      <c r="W112" s="207"/>
      <c r="X112" s="207"/>
      <c r="Y112" s="207"/>
      <c r="Z112" s="207"/>
      <c r="AA112" s="207"/>
      <c r="AB112" s="207"/>
    </row>
    <row r="113" spans="1:28" s="3" customFormat="1" ht="5.25" customHeight="1" x14ac:dyDescent="0.4">
      <c r="A113" s="310"/>
      <c r="B113" s="310"/>
      <c r="C113" s="310"/>
      <c r="D113" s="310"/>
      <c r="E113" s="310"/>
      <c r="F113" s="310"/>
      <c r="G113" s="310"/>
      <c r="H113" s="310"/>
      <c r="I113" s="310"/>
      <c r="J113" s="310"/>
      <c r="K113" s="310"/>
      <c r="L113" s="310"/>
      <c r="M113" s="310"/>
      <c r="P113" s="14"/>
      <c r="Q113" s="14"/>
      <c r="R113" s="14"/>
      <c r="S113" s="14"/>
      <c r="T113" s="157"/>
      <c r="U113" s="157"/>
      <c r="V113" s="207"/>
      <c r="W113" s="207"/>
      <c r="X113" s="207"/>
      <c r="Y113" s="207"/>
      <c r="Z113" s="207"/>
      <c r="AA113" s="207"/>
      <c r="AB113" s="207"/>
    </row>
    <row r="114" spans="1:28" ht="16.5" hidden="1" customHeight="1" x14ac:dyDescent="0.4">
      <c r="E114" s="7"/>
      <c r="F114" s="7"/>
      <c r="G114" s="282"/>
      <c r="H114" s="282"/>
      <c r="I114" s="282"/>
      <c r="J114" s="282"/>
      <c r="L114" s="282"/>
      <c r="M114" s="282"/>
      <c r="P114" s="14"/>
      <c r="Q114" s="14"/>
      <c r="R114" s="14"/>
      <c r="S114" s="14"/>
      <c r="T114" s="157"/>
      <c r="U114" s="234"/>
      <c r="V114" s="207"/>
      <c r="W114" s="234"/>
      <c r="X114" s="207"/>
      <c r="Y114" s="234"/>
      <c r="Z114" s="207"/>
      <c r="AA114" s="234"/>
      <c r="AB114" s="207"/>
    </row>
    <row r="115" spans="1:28" ht="16.5" customHeight="1" x14ac:dyDescent="0.4">
      <c r="D115" s="9" t="s">
        <v>215</v>
      </c>
      <c r="E115" s="7"/>
      <c r="F115" s="7"/>
      <c r="G115" s="122">
        <f>'BS_Q1-68'!F13</f>
        <v>142581474.88</v>
      </c>
      <c r="H115" s="123"/>
      <c r="I115" s="122">
        <v>319362564.18000001</v>
      </c>
      <c r="J115" s="123"/>
      <c r="K115" s="122">
        <f>'BS_Q1-68'!J13</f>
        <v>33563552.07</v>
      </c>
      <c r="L115" s="122"/>
      <c r="M115" s="208">
        <v>252463275.27000001</v>
      </c>
      <c r="P115" s="14"/>
      <c r="Q115" s="14"/>
      <c r="R115" s="14"/>
      <c r="S115" s="14"/>
      <c r="T115" s="157"/>
      <c r="U115" s="234"/>
      <c r="V115" s="207"/>
      <c r="W115" s="234"/>
      <c r="X115" s="207"/>
      <c r="Y115" s="234"/>
      <c r="Z115" s="207"/>
      <c r="AA115" s="234"/>
      <c r="AB115" s="207"/>
    </row>
    <row r="116" spans="1:28" ht="16.5" customHeight="1" x14ac:dyDescent="0.4">
      <c r="D116" s="9" t="s">
        <v>216</v>
      </c>
      <c r="E116" s="7"/>
      <c r="F116" s="7"/>
      <c r="G116" s="122">
        <f>+G115-G80</f>
        <v>0</v>
      </c>
      <c r="H116" s="122"/>
      <c r="I116" s="122">
        <f>+I115-I80</f>
        <v>0</v>
      </c>
      <c r="J116" s="122"/>
      <c r="K116" s="122">
        <f>+K115-K80</f>
        <v>0</v>
      </c>
      <c r="L116" s="122"/>
      <c r="M116" s="122">
        <f>+M115-M80</f>
        <v>0</v>
      </c>
      <c r="P116" s="14"/>
      <c r="Q116" s="14"/>
      <c r="R116" s="14"/>
      <c r="S116" s="14"/>
      <c r="T116" s="157"/>
      <c r="U116" s="234"/>
      <c r="V116" s="207"/>
      <c r="W116" s="234"/>
      <c r="X116" s="207"/>
      <c r="Y116" s="234"/>
      <c r="Z116" s="207"/>
      <c r="AA116" s="234"/>
      <c r="AB116" s="207"/>
    </row>
    <row r="117" spans="1:28" ht="16.5" customHeight="1" x14ac:dyDescent="0.4">
      <c r="E117" s="7"/>
      <c r="F117" s="7"/>
      <c r="G117" s="282"/>
      <c r="H117" s="282"/>
      <c r="I117" s="282"/>
      <c r="J117" s="282"/>
      <c r="L117" s="282"/>
      <c r="M117" s="282"/>
      <c r="P117" s="14"/>
      <c r="Q117" s="14"/>
      <c r="R117" s="14"/>
      <c r="S117" s="14"/>
      <c r="T117" s="234"/>
      <c r="U117" s="234"/>
      <c r="V117" s="207"/>
      <c r="W117" s="234"/>
      <c r="X117" s="207"/>
      <c r="Y117" s="234"/>
      <c r="Z117" s="207"/>
      <c r="AA117" s="234"/>
      <c r="AB117" s="207"/>
    </row>
    <row r="118" spans="1:28" ht="16.5" customHeight="1" x14ac:dyDescent="0.4">
      <c r="E118" s="7"/>
      <c r="F118" s="7"/>
      <c r="G118" s="282"/>
      <c r="H118" s="282"/>
      <c r="I118" s="282"/>
      <c r="J118" s="282"/>
      <c r="L118" s="282"/>
      <c r="M118" s="282"/>
      <c r="P118" s="14"/>
      <c r="Q118" s="14"/>
      <c r="R118" s="14"/>
      <c r="S118" s="14"/>
      <c r="T118" s="234"/>
      <c r="U118" s="234"/>
      <c r="V118" s="235"/>
      <c r="W118" s="234"/>
      <c r="X118" s="214"/>
      <c r="Y118" s="234"/>
      <c r="Z118" s="235"/>
      <c r="AA118" s="234"/>
      <c r="AB118" s="235"/>
    </row>
    <row r="119" spans="1:28" ht="16.5" customHeight="1" x14ac:dyDescent="0.4">
      <c r="E119" s="7"/>
      <c r="F119" s="7"/>
      <c r="G119" s="282"/>
      <c r="H119" s="282"/>
      <c r="I119" s="282"/>
      <c r="J119" s="282"/>
      <c r="L119" s="282"/>
      <c r="M119" s="282"/>
      <c r="P119" s="8"/>
      <c r="Q119" s="234"/>
      <c r="R119" s="236"/>
      <c r="S119" s="234"/>
      <c r="T119" s="234"/>
      <c r="U119" s="234"/>
      <c r="V119" s="235"/>
      <c r="W119" s="234"/>
      <c r="X119" s="214"/>
      <c r="Y119" s="234"/>
      <c r="Z119" s="235"/>
      <c r="AA119" s="234"/>
      <c r="AB119" s="235"/>
    </row>
    <row r="120" spans="1:28" ht="16.5" customHeight="1" x14ac:dyDescent="0.4">
      <c r="E120" s="7"/>
      <c r="F120" s="7"/>
      <c r="G120" s="282"/>
      <c r="H120" s="282"/>
      <c r="I120" s="282"/>
      <c r="J120" s="282"/>
      <c r="L120" s="282"/>
      <c r="M120" s="282"/>
      <c r="P120" s="8"/>
    </row>
    <row r="121" spans="1:28" ht="16.5" customHeight="1" x14ac:dyDescent="0.4">
      <c r="E121" s="7"/>
      <c r="F121" s="7"/>
      <c r="G121" s="282"/>
      <c r="H121" s="282"/>
      <c r="I121" s="282"/>
      <c r="J121" s="282"/>
      <c r="L121" s="282"/>
      <c r="M121" s="282"/>
      <c r="P121" s="8"/>
    </row>
    <row r="122" spans="1:28" ht="16.5" customHeight="1" x14ac:dyDescent="0.4">
      <c r="E122" s="7"/>
      <c r="F122" s="7"/>
      <c r="G122" s="282"/>
      <c r="H122" s="282"/>
      <c r="I122" s="282"/>
      <c r="J122" s="282"/>
      <c r="L122" s="282"/>
      <c r="M122" s="282"/>
      <c r="P122" s="12"/>
      <c r="Q122" s="23"/>
      <c r="R122" s="12"/>
      <c r="S122" s="23"/>
      <c r="U122" s="23"/>
      <c r="V122" s="12"/>
      <c r="W122" s="12"/>
      <c r="X122" s="12"/>
      <c r="Y122" s="12"/>
      <c r="Z122" s="12"/>
      <c r="AA122" s="12"/>
      <c r="AB122" s="12"/>
    </row>
    <row r="123" spans="1:28" ht="16.5" customHeight="1" x14ac:dyDescent="0.4">
      <c r="E123" s="7"/>
      <c r="F123" s="7"/>
      <c r="P123" s="301"/>
      <c r="Q123" s="301"/>
      <c r="R123" s="301"/>
      <c r="S123" s="301"/>
      <c r="T123" s="301"/>
      <c r="U123" s="301"/>
      <c r="V123" s="301"/>
      <c r="W123" s="301"/>
      <c r="X123" s="301"/>
      <c r="Y123" s="301"/>
      <c r="Z123" s="301"/>
      <c r="AA123" s="301"/>
      <c r="AB123" s="301"/>
    </row>
    <row r="124" spans="1:28" ht="16.5" customHeight="1" x14ac:dyDescent="0.4">
      <c r="E124" s="7"/>
      <c r="F124" s="7"/>
    </row>
    <row r="125" spans="1:28" ht="16.5" customHeight="1" x14ac:dyDescent="0.4">
      <c r="E125" s="7"/>
      <c r="F125" s="7"/>
      <c r="P125" s="8"/>
      <c r="S125" s="9"/>
      <c r="T125" s="7"/>
      <c r="U125" s="7"/>
      <c r="V125" s="207"/>
      <c r="W125" s="207"/>
      <c r="X125" s="207"/>
      <c r="Y125" s="207"/>
      <c r="Z125" s="207"/>
      <c r="AA125" s="207"/>
      <c r="AB125" s="207"/>
    </row>
    <row r="126" spans="1:28" ht="16.5" customHeight="1" x14ac:dyDescent="0.4">
      <c r="E126" s="7"/>
      <c r="F126" s="7"/>
      <c r="P126" s="8"/>
      <c r="S126" s="9"/>
      <c r="T126" s="7"/>
      <c r="U126" s="7"/>
      <c r="V126" s="207"/>
      <c r="W126" s="207"/>
      <c r="X126" s="207"/>
      <c r="Y126" s="207"/>
      <c r="Z126" s="207"/>
      <c r="AA126" s="207"/>
      <c r="AB126" s="207"/>
    </row>
    <row r="127" spans="1:28" ht="16.5" customHeight="1" x14ac:dyDescent="0.4">
      <c r="E127" s="7"/>
      <c r="F127" s="7"/>
      <c r="P127" s="8"/>
      <c r="T127" s="7"/>
      <c r="U127" s="7"/>
    </row>
    <row r="128" spans="1:28" ht="16.5" customHeight="1" x14ac:dyDescent="0.4">
      <c r="E128" s="7"/>
      <c r="F128" s="7"/>
      <c r="T128" s="7"/>
      <c r="U128" s="7"/>
    </row>
    <row r="129" spans="5:21" ht="16.5" customHeight="1" x14ac:dyDescent="0.4">
      <c r="E129" s="7"/>
      <c r="F129" s="7"/>
      <c r="T129" s="7"/>
      <c r="U129" s="7"/>
    </row>
    <row r="130" spans="5:21" ht="16.5" customHeight="1" x14ac:dyDescent="0.4">
      <c r="E130" s="7"/>
      <c r="F130" s="7"/>
      <c r="T130" s="7"/>
      <c r="U130" s="7"/>
    </row>
    <row r="131" spans="5:21" ht="16.5" customHeight="1" x14ac:dyDescent="0.4">
      <c r="E131" s="7"/>
      <c r="F131" s="7"/>
      <c r="T131" s="7"/>
      <c r="U131" s="7"/>
    </row>
    <row r="132" spans="5:21" ht="16.5" customHeight="1" x14ac:dyDescent="0.4">
      <c r="E132" s="7"/>
      <c r="F132" s="7"/>
      <c r="T132" s="7"/>
      <c r="U132" s="7"/>
    </row>
    <row r="133" spans="5:21" ht="16.5" customHeight="1" x14ac:dyDescent="0.4">
      <c r="E133" s="7"/>
      <c r="F133" s="7"/>
      <c r="T133" s="7"/>
      <c r="U133" s="7"/>
    </row>
    <row r="134" spans="5:21" ht="16.5" customHeight="1" x14ac:dyDescent="0.4">
      <c r="E134" s="7"/>
      <c r="F134" s="7"/>
      <c r="T134" s="7"/>
      <c r="U134" s="7"/>
    </row>
    <row r="135" spans="5:21" ht="16.5" customHeight="1" x14ac:dyDescent="0.4">
      <c r="E135" s="7"/>
      <c r="F135" s="7"/>
      <c r="T135" s="7"/>
      <c r="U135" s="7"/>
    </row>
    <row r="136" spans="5:21" ht="16.5" customHeight="1" x14ac:dyDescent="0.4">
      <c r="E136" s="7"/>
      <c r="F136" s="7"/>
      <c r="T136" s="7"/>
      <c r="U136" s="7"/>
    </row>
    <row r="137" spans="5:21" ht="16.5" customHeight="1" x14ac:dyDescent="0.4">
      <c r="E137" s="7"/>
      <c r="F137" s="7"/>
      <c r="T137" s="7"/>
      <c r="U137" s="7"/>
    </row>
    <row r="138" spans="5:21" ht="16.5" customHeight="1" x14ac:dyDescent="0.4">
      <c r="E138" s="7"/>
      <c r="F138" s="7"/>
      <c r="T138" s="7"/>
      <c r="U138" s="7"/>
    </row>
    <row r="139" spans="5:21" ht="16.5" customHeight="1" x14ac:dyDescent="0.4">
      <c r="E139" s="7"/>
      <c r="F139" s="7"/>
      <c r="T139" s="7"/>
      <c r="U139" s="7"/>
    </row>
    <row r="140" spans="5:21" ht="16.5" customHeight="1" x14ac:dyDescent="0.4">
      <c r="E140" s="7"/>
      <c r="F140" s="7"/>
      <c r="T140" s="7"/>
      <c r="U140" s="7"/>
    </row>
    <row r="141" spans="5:21" ht="16.5" customHeight="1" x14ac:dyDescent="0.4">
      <c r="E141" s="7"/>
      <c r="F141" s="7"/>
      <c r="T141" s="7"/>
      <c r="U141" s="7"/>
    </row>
    <row r="142" spans="5:21" ht="16.5" customHeight="1" x14ac:dyDescent="0.4">
      <c r="E142" s="7"/>
      <c r="F142" s="7"/>
      <c r="T142" s="7"/>
      <c r="U142" s="7"/>
    </row>
    <row r="143" spans="5:21" ht="16.5" customHeight="1" x14ac:dyDescent="0.4">
      <c r="T143" s="7"/>
      <c r="U143" s="7"/>
    </row>
    <row r="144" spans="5:21" ht="16.5" customHeight="1" x14ac:dyDescent="0.4">
      <c r="T144" s="7"/>
      <c r="U144" s="7"/>
    </row>
    <row r="145" spans="20:21" ht="16.5" customHeight="1" x14ac:dyDescent="0.4">
      <c r="T145" s="7"/>
      <c r="U145" s="7"/>
    </row>
    <row r="146" spans="20:21" ht="16.5" customHeight="1" x14ac:dyDescent="0.4">
      <c r="T146" s="7"/>
      <c r="U146" s="7"/>
    </row>
    <row r="147" spans="20:21" ht="16.5" customHeight="1" x14ac:dyDescent="0.4">
      <c r="T147" s="7"/>
      <c r="U147" s="7"/>
    </row>
    <row r="148" spans="20:21" ht="16.5" customHeight="1" x14ac:dyDescent="0.4">
      <c r="T148" s="7"/>
      <c r="U148" s="7"/>
    </row>
    <row r="149" spans="20:21" ht="16.5" customHeight="1" x14ac:dyDescent="0.4">
      <c r="T149" s="7"/>
      <c r="U149" s="7"/>
    </row>
    <row r="150" spans="20:21" ht="16.5" customHeight="1" x14ac:dyDescent="0.4">
      <c r="T150" s="7"/>
      <c r="U150" s="7"/>
    </row>
    <row r="151" spans="20:21" ht="16.5" customHeight="1" x14ac:dyDescent="0.4">
      <c r="T151" s="7"/>
      <c r="U151" s="7"/>
    </row>
    <row r="152" spans="20:21" ht="16.5" customHeight="1" x14ac:dyDescent="0.4">
      <c r="T152" s="7"/>
      <c r="U152" s="7"/>
    </row>
    <row r="153" spans="20:21" ht="16.5" customHeight="1" x14ac:dyDescent="0.4">
      <c r="T153" s="7"/>
      <c r="U153" s="7"/>
    </row>
    <row r="154" spans="20:21" ht="16.5" customHeight="1" x14ac:dyDescent="0.4">
      <c r="T154" s="7"/>
      <c r="U154" s="7"/>
    </row>
    <row r="155" spans="20:21" ht="16.5" customHeight="1" x14ac:dyDescent="0.4">
      <c r="T155" s="7"/>
      <c r="U155" s="7"/>
    </row>
    <row r="156" spans="20:21" ht="16.5" customHeight="1" x14ac:dyDescent="0.4">
      <c r="T156" s="7"/>
      <c r="U156" s="7"/>
    </row>
    <row r="157" spans="20:21" ht="16.5" customHeight="1" x14ac:dyDescent="0.4">
      <c r="T157" s="7"/>
      <c r="U157" s="7"/>
    </row>
  </sheetData>
  <mergeCells count="30">
    <mergeCell ref="V67:X67"/>
    <mergeCell ref="Z67:AB67"/>
    <mergeCell ref="P123:AB123"/>
    <mergeCell ref="P61:AB61"/>
    <mergeCell ref="P62:AB62"/>
    <mergeCell ref="P63:AB63"/>
    <mergeCell ref="V65:AB65"/>
    <mergeCell ref="V66:X66"/>
    <mergeCell ref="Z66:AB66"/>
    <mergeCell ref="V7:X7"/>
    <mergeCell ref="Z7:AB7"/>
    <mergeCell ref="V8:X8"/>
    <mergeCell ref="Z8:AB8"/>
    <mergeCell ref="Z60:AB60"/>
    <mergeCell ref="Z1:AB1"/>
    <mergeCell ref="P2:AB2"/>
    <mergeCell ref="P3:AB3"/>
    <mergeCell ref="P4:AB4"/>
    <mergeCell ref="V6:AB6"/>
    <mergeCell ref="K1:M1"/>
    <mergeCell ref="A60:M60"/>
    <mergeCell ref="A113:M113"/>
    <mergeCell ref="A2:M2"/>
    <mergeCell ref="G6:M6"/>
    <mergeCell ref="G7:I7"/>
    <mergeCell ref="K7:M7"/>
    <mergeCell ref="A3:M3"/>
    <mergeCell ref="A4:M4"/>
    <mergeCell ref="G8:I8"/>
    <mergeCell ref="K8:M8"/>
  </mergeCells>
  <phoneticPr fontId="0" type="noConversion"/>
  <pageMargins left="0.34" right="0" top="0.53" bottom="0.22" header="0.7" footer="0.13"/>
  <pageSetup paperSize="9" scale="88" firstPageNumber="8" orientation="portrait" useFirstPageNumber="1" r:id="rId1"/>
  <headerFooter alignWithMargins="0">
    <oddFooter>&amp;C&amp;P</oddFooter>
  </headerFooter>
  <rowBreaks count="1" manualBreakCount="1">
    <brk id="60" max="12" man="1"/>
  </rowBreaks>
  <ignoredErrors>
    <ignoredError sqref="E69:F69" numberStoredAsText="1"/>
    <ignoredError sqref="H69 L69 J69" numberStoredAsText="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01"/>
  <sheetViews>
    <sheetView view="pageBreakPreview" topLeftCell="A22" zoomScaleNormal="100" workbookViewId="0">
      <selection activeCell="C18" sqref="C18"/>
    </sheetView>
  </sheetViews>
  <sheetFormatPr defaultColWidth="9.140625" defaultRowHeight="21" x14ac:dyDescent="0.45"/>
  <cols>
    <col min="1" max="1" width="41.140625" style="81" customWidth="1"/>
    <col min="2" max="2" width="13.42578125" style="97" bestFit="1" customWidth="1"/>
    <col min="3" max="3" width="13.85546875" style="77" bestFit="1" customWidth="1"/>
    <col min="4" max="4" width="14.85546875" style="82" bestFit="1" customWidth="1"/>
    <col min="5" max="6" width="12.7109375" style="77" customWidth="1"/>
    <col min="7" max="7" width="14.85546875" style="77" bestFit="1" customWidth="1"/>
    <col min="8" max="8" width="15.28515625" style="80" customWidth="1"/>
    <col min="9" max="10" width="12.7109375" style="77" customWidth="1"/>
    <col min="11" max="11" width="2.28515625" style="81" customWidth="1"/>
    <col min="12" max="13" width="12.7109375" style="81" customWidth="1"/>
    <col min="14" max="16384" width="9.140625" style="81"/>
  </cols>
  <sheetData>
    <row r="1" spans="1:10" x14ac:dyDescent="0.45">
      <c r="A1" s="75" t="s">
        <v>52</v>
      </c>
      <c r="B1" s="76"/>
      <c r="D1" s="78"/>
      <c r="E1" s="79"/>
      <c r="F1" s="79"/>
    </row>
    <row r="2" spans="1:10" ht="21.75" customHeight="1" x14ac:dyDescent="0.45">
      <c r="A2" s="75" t="s">
        <v>89</v>
      </c>
      <c r="B2" s="76"/>
    </row>
    <row r="3" spans="1:10" ht="21.75" customHeight="1" x14ac:dyDescent="0.45">
      <c r="A3" s="83" t="s">
        <v>69</v>
      </c>
      <c r="B3" s="84"/>
      <c r="C3" s="85"/>
      <c r="D3" s="86"/>
      <c r="E3" s="85"/>
      <c r="F3" s="85"/>
      <c r="G3" s="85"/>
      <c r="H3" s="87"/>
      <c r="I3" s="85"/>
      <c r="J3" s="85"/>
    </row>
    <row r="4" spans="1:10" ht="21.75" customHeight="1" x14ac:dyDescent="0.45">
      <c r="A4" s="88"/>
      <c r="B4" s="76"/>
      <c r="H4" s="313" t="s">
        <v>71</v>
      </c>
      <c r="I4" s="313"/>
    </row>
    <row r="5" spans="1:10" s="90" customFormat="1" ht="24" customHeight="1" x14ac:dyDescent="0.45">
      <c r="B5" s="91" t="s">
        <v>63</v>
      </c>
      <c r="C5" s="89" t="s">
        <v>64</v>
      </c>
      <c r="D5" s="84" t="s">
        <v>65</v>
      </c>
      <c r="E5" s="89" t="s">
        <v>67</v>
      </c>
      <c r="F5" s="89" t="s">
        <v>66</v>
      </c>
      <c r="G5" s="89" t="s">
        <v>27</v>
      </c>
      <c r="H5" s="92" t="s">
        <v>72</v>
      </c>
      <c r="I5" s="79" t="s">
        <v>73</v>
      </c>
      <c r="J5" s="85" t="s">
        <v>33</v>
      </c>
    </row>
    <row r="6" spans="1:10" s="90" customFormat="1" ht="24.75" customHeight="1" x14ac:dyDescent="0.45">
      <c r="A6" s="93" t="s">
        <v>90</v>
      </c>
      <c r="B6" s="94"/>
      <c r="C6" s="79"/>
      <c r="D6" s="78"/>
      <c r="E6" s="79"/>
      <c r="F6" s="79"/>
      <c r="G6" s="79"/>
      <c r="H6" s="95"/>
      <c r="I6" s="79"/>
      <c r="J6" s="77"/>
    </row>
    <row r="7" spans="1:10" s="90" customFormat="1" ht="18" customHeight="1" x14ac:dyDescent="0.45">
      <c r="B7" s="94"/>
      <c r="C7" s="79"/>
      <c r="D7" s="78"/>
      <c r="E7" s="96">
        <v>25000</v>
      </c>
      <c r="F7" s="96">
        <v>250000</v>
      </c>
      <c r="G7" s="79"/>
      <c r="H7" s="95"/>
      <c r="I7" s="79"/>
      <c r="J7" s="77"/>
    </row>
    <row r="8" spans="1:10" x14ac:dyDescent="0.45">
      <c r="A8" s="81" t="s">
        <v>98</v>
      </c>
      <c r="B8" s="97">
        <v>4250000</v>
      </c>
      <c r="C8" s="77">
        <v>10000000</v>
      </c>
      <c r="D8" s="82">
        <v>42940000</v>
      </c>
      <c r="E8" s="77">
        <f>+E7*36.48</f>
        <v>911999.99999999988</v>
      </c>
      <c r="F8" s="77">
        <f>+F7*35.32</f>
        <v>8830000</v>
      </c>
    </row>
    <row r="9" spans="1:10" x14ac:dyDescent="0.45">
      <c r="A9" s="81" t="s">
        <v>128</v>
      </c>
      <c r="B9" s="97">
        <v>533031.27</v>
      </c>
      <c r="C9" s="77">
        <v>-11662591.75</v>
      </c>
      <c r="D9" s="82">
        <v>-18618021.34</v>
      </c>
      <c r="E9" s="77">
        <v>0</v>
      </c>
      <c r="F9" s="77">
        <v>0</v>
      </c>
    </row>
    <row r="10" spans="1:10" x14ac:dyDescent="0.45">
      <c r="A10" s="81" t="s">
        <v>91</v>
      </c>
      <c r="B10" s="97">
        <v>99.99</v>
      </c>
      <c r="C10" s="77">
        <v>49.99</v>
      </c>
      <c r="D10" s="82">
        <v>99.99</v>
      </c>
      <c r="E10" s="77">
        <v>100</v>
      </c>
      <c r="F10" s="77">
        <v>51</v>
      </c>
    </row>
    <row r="11" spans="1:10" x14ac:dyDescent="0.45">
      <c r="A11" s="98" t="s">
        <v>92</v>
      </c>
      <c r="B11" s="86">
        <f>+B10*B8/100</f>
        <v>4249575</v>
      </c>
      <c r="C11" s="86">
        <f>+C10*C8/100</f>
        <v>4999000</v>
      </c>
      <c r="D11" s="86">
        <f>+D10*D8/100</f>
        <v>42935706</v>
      </c>
      <c r="E11" s="86">
        <f>+E10*E8/100</f>
        <v>911999.99999999988</v>
      </c>
      <c r="F11" s="86">
        <f>+F10*F8/100</f>
        <v>4503300</v>
      </c>
      <c r="G11" s="85"/>
      <c r="H11" s="99"/>
    </row>
    <row r="12" spans="1:10" x14ac:dyDescent="0.45">
      <c r="A12" s="81" t="s">
        <v>97</v>
      </c>
      <c r="B12" s="100">
        <v>4001000</v>
      </c>
      <c r="C12" s="101">
        <v>1250375</v>
      </c>
      <c r="D12" s="102">
        <f>24321978.66+21431024.34</f>
        <v>45753003</v>
      </c>
      <c r="E12" s="101">
        <v>912000</v>
      </c>
      <c r="F12" s="101">
        <v>4503300</v>
      </c>
      <c r="G12" s="103">
        <f t="shared" ref="G12:G17" si="0">+SUM(B12:F12)</f>
        <v>56419678</v>
      </c>
    </row>
    <row r="13" spans="1:10" x14ac:dyDescent="0.45">
      <c r="A13" s="104" t="s">
        <v>93</v>
      </c>
      <c r="B13" s="105">
        <v>4782963.74</v>
      </c>
      <c r="C13" s="86">
        <v>-1662591.75</v>
      </c>
      <c r="D13" s="86">
        <v>24321978.66</v>
      </c>
      <c r="E13" s="86">
        <v>899000</v>
      </c>
      <c r="F13" s="86">
        <v>4584900</v>
      </c>
      <c r="G13" s="106">
        <f t="shared" si="0"/>
        <v>32926250.649999999</v>
      </c>
      <c r="H13" s="99"/>
    </row>
    <row r="14" spans="1:10" x14ac:dyDescent="0.45">
      <c r="A14" s="107" t="s">
        <v>9</v>
      </c>
      <c r="B14" s="108">
        <f>+B13-B12</f>
        <v>781963.74000000022</v>
      </c>
      <c r="C14" s="108">
        <f>+C13-C12</f>
        <v>-2912966.75</v>
      </c>
      <c r="D14" s="108">
        <f>+D13-D12</f>
        <v>-21431024.34</v>
      </c>
      <c r="E14" s="108">
        <f>+E13-E12</f>
        <v>-13000</v>
      </c>
      <c r="F14" s="108">
        <f>+F13-F12</f>
        <v>81600</v>
      </c>
      <c r="G14" s="106">
        <f t="shared" si="0"/>
        <v>-23493427.350000001</v>
      </c>
      <c r="H14" s="99"/>
    </row>
    <row r="15" spans="1:10" x14ac:dyDescent="0.45">
      <c r="A15" s="109" t="s">
        <v>94</v>
      </c>
      <c r="B15" s="77">
        <v>9963921.2899999991</v>
      </c>
      <c r="C15" s="77">
        <v>-1090678.93</v>
      </c>
      <c r="D15" s="82">
        <v>-1566605.83</v>
      </c>
      <c r="E15" s="77">
        <v>271135.14</v>
      </c>
      <c r="F15" s="77">
        <v>40003.35</v>
      </c>
      <c r="G15" s="77">
        <f t="shared" si="0"/>
        <v>7617775.0199999986</v>
      </c>
    </row>
    <row r="16" spans="1:10" x14ac:dyDescent="0.45">
      <c r="A16" s="81" t="s">
        <v>95</v>
      </c>
      <c r="B16" s="97">
        <f>+B15*B10/100</f>
        <v>9962924.8978709988</v>
      </c>
      <c r="C16" s="97"/>
      <c r="D16" s="97"/>
      <c r="E16" s="97">
        <f>+E15*E10/100</f>
        <v>271135.14</v>
      </c>
      <c r="F16" s="97">
        <f>+F15*F10/100</f>
        <v>20401.708499999997</v>
      </c>
      <c r="G16" s="77">
        <f t="shared" si="0"/>
        <v>10254461.746370999</v>
      </c>
    </row>
    <row r="17" spans="1:10" x14ac:dyDescent="0.45">
      <c r="A17" s="81" t="s">
        <v>96</v>
      </c>
      <c r="C17" s="97">
        <f>+C15*C10/100</f>
        <v>-545230.397107</v>
      </c>
      <c r="D17" s="97">
        <f>+D15*D10/100</f>
        <v>-1566449.1694170001</v>
      </c>
      <c r="E17" s="97"/>
      <c r="F17" s="97"/>
      <c r="G17" s="77">
        <f t="shared" si="0"/>
        <v>-2111679.5665239999</v>
      </c>
    </row>
    <row r="18" spans="1:10" x14ac:dyDescent="0.45">
      <c r="C18" s="97"/>
      <c r="D18" s="97"/>
      <c r="E18" s="97"/>
      <c r="F18" s="97"/>
    </row>
    <row r="19" spans="1:10" x14ac:dyDescent="0.45">
      <c r="A19" s="81" t="s">
        <v>118</v>
      </c>
      <c r="B19" s="97">
        <f>+B15*(100-B10)/100</f>
        <v>996.39212900050961</v>
      </c>
      <c r="C19" s="97">
        <f>+C15*(100-C10)/100</f>
        <v>-545448.53289299994</v>
      </c>
      <c r="D19" s="97">
        <f>+D15*(100-D10)/100</f>
        <v>-156.66058300008015</v>
      </c>
      <c r="E19" s="97">
        <f>+E15*(100-E10)/100</f>
        <v>0</v>
      </c>
      <c r="F19" s="97">
        <f>+F15*(100-F10)/100</f>
        <v>19601.641499999998</v>
      </c>
      <c r="G19" s="110">
        <f>+SUM(B19:F19)</f>
        <v>-525007.15984699945</v>
      </c>
    </row>
    <row r="20" spans="1:10" x14ac:dyDescent="0.45">
      <c r="C20" s="97"/>
      <c r="D20" s="97"/>
      <c r="E20" s="97"/>
      <c r="F20" s="97"/>
    </row>
    <row r="21" spans="1:10" x14ac:dyDescent="0.45">
      <c r="C21" s="97"/>
      <c r="D21" s="97"/>
      <c r="E21" s="97"/>
      <c r="F21" s="97"/>
    </row>
    <row r="22" spans="1:10" x14ac:dyDescent="0.45">
      <c r="A22" s="104" t="s">
        <v>125</v>
      </c>
      <c r="B22" s="97">
        <f>+B15+B8+B9</f>
        <v>14746952.559999999</v>
      </c>
      <c r="C22" s="97">
        <f>+C15+C8+C9</f>
        <v>-2753270.6799999997</v>
      </c>
      <c r="D22" s="97">
        <f>+D15+D8+D9</f>
        <v>22755372.830000002</v>
      </c>
      <c r="E22" s="97">
        <f>+E15+E8+E9</f>
        <v>1183135.1399999999</v>
      </c>
      <c r="F22" s="97">
        <f>+F15+F8+F9</f>
        <v>8870003.3499999996</v>
      </c>
    </row>
    <row r="23" spans="1:10" x14ac:dyDescent="0.45">
      <c r="A23" s="81" t="s">
        <v>126</v>
      </c>
      <c r="B23" s="97">
        <f>+B22*(100-B10)/100</f>
        <v>1474.6952560007544</v>
      </c>
      <c r="C23" s="97">
        <f>+C22*(100-C10)/100</f>
        <v>-1376910.667068</v>
      </c>
      <c r="D23" s="97">
        <f>+D22*(100-D10)/100</f>
        <v>2275.5372830011643</v>
      </c>
      <c r="E23" s="97">
        <f>+E22*(100-E10)/100</f>
        <v>0</v>
      </c>
      <c r="F23" s="97">
        <f>+F22*(100-F10)/100</f>
        <v>4346301.6414999999</v>
      </c>
      <c r="G23" s="110">
        <f>+SUM(B23:F23)</f>
        <v>2973141.2069710018</v>
      </c>
    </row>
    <row r="24" spans="1:10" x14ac:dyDescent="0.45">
      <c r="A24" s="81" t="s">
        <v>127</v>
      </c>
      <c r="C24" s="97"/>
      <c r="D24" s="97"/>
      <c r="E24" s="97"/>
      <c r="F24" s="97">
        <v>-4274821.25</v>
      </c>
      <c r="G24" s="110">
        <f>+SUM(B24:F24)</f>
        <v>-4274821.25</v>
      </c>
    </row>
    <row r="25" spans="1:10" x14ac:dyDescent="0.45">
      <c r="C25" s="97"/>
      <c r="D25" s="97"/>
      <c r="E25" s="97"/>
      <c r="F25" s="97"/>
      <c r="G25" s="110"/>
    </row>
    <row r="26" spans="1:10" x14ac:dyDescent="0.45">
      <c r="C26" s="97"/>
      <c r="D26" s="97"/>
      <c r="E26" s="97"/>
      <c r="F26" s="97"/>
      <c r="G26" s="110"/>
    </row>
    <row r="27" spans="1:10" ht="21.75" thickBot="1" x14ac:dyDescent="0.5">
      <c r="C27" s="97"/>
      <c r="D27" s="97"/>
      <c r="E27" s="97"/>
      <c r="F27" s="97"/>
      <c r="G27" s="111">
        <f>SUM(G23:G26)</f>
        <v>-1301680.0430289982</v>
      </c>
    </row>
    <row r="28" spans="1:10" ht="21.75" thickTop="1" x14ac:dyDescent="0.45">
      <c r="C28" s="82"/>
    </row>
    <row r="29" spans="1:10" x14ac:dyDescent="0.45">
      <c r="A29" s="112" t="s">
        <v>34</v>
      </c>
      <c r="B29" s="82"/>
      <c r="G29" s="77">
        <v>-2135652.63</v>
      </c>
    </row>
    <row r="30" spans="1:10" x14ac:dyDescent="0.45">
      <c r="A30" s="81" t="s">
        <v>101</v>
      </c>
      <c r="B30" s="82"/>
      <c r="G30" s="77">
        <f>+G29-G27</f>
        <v>-833972.5869710017</v>
      </c>
    </row>
    <row r="31" spans="1:10" x14ac:dyDescent="0.45">
      <c r="A31" s="81" t="s">
        <v>106</v>
      </c>
      <c r="B31" s="82"/>
      <c r="C31" s="82">
        <f>23544963.08-13000</f>
        <v>23531963.079999998</v>
      </c>
      <c r="E31" s="82"/>
      <c r="F31" s="82"/>
      <c r="G31" s="82"/>
      <c r="H31" s="113"/>
      <c r="I31" s="82"/>
      <c r="J31" s="82"/>
    </row>
    <row r="32" spans="1:10" x14ac:dyDescent="0.45">
      <c r="A32" s="81" t="s">
        <v>107</v>
      </c>
      <c r="B32" s="82"/>
      <c r="D32" s="82">
        <f>+C31</f>
        <v>23531963.079999998</v>
      </c>
      <c r="G32" s="77">
        <v>78400</v>
      </c>
      <c r="H32" s="99"/>
    </row>
    <row r="33" spans="1:8" x14ac:dyDescent="0.45">
      <c r="G33" s="77">
        <v>-615.72</v>
      </c>
    </row>
    <row r="34" spans="1:8" x14ac:dyDescent="0.45">
      <c r="G34" s="77">
        <v>781963.74</v>
      </c>
    </row>
    <row r="35" spans="1:8" x14ac:dyDescent="0.45">
      <c r="A35" s="81" t="s">
        <v>102</v>
      </c>
      <c r="G35" s="77">
        <f>SUM(G32:G34)</f>
        <v>859748.02</v>
      </c>
    </row>
    <row r="36" spans="1:8" x14ac:dyDescent="0.45">
      <c r="A36" s="81" t="s">
        <v>104</v>
      </c>
      <c r="C36" s="77">
        <v>22681399.34</v>
      </c>
    </row>
    <row r="37" spans="1:8" x14ac:dyDescent="0.45">
      <c r="A37" s="81" t="s">
        <v>105</v>
      </c>
      <c r="D37" s="82">
        <f>+C36</f>
        <v>22681399.34</v>
      </c>
    </row>
    <row r="39" spans="1:8" x14ac:dyDescent="0.45">
      <c r="A39" s="81" t="s">
        <v>120</v>
      </c>
    </row>
    <row r="40" spans="1:8" x14ac:dyDescent="0.45">
      <c r="A40" s="81" t="s">
        <v>121</v>
      </c>
      <c r="C40" s="77">
        <v>1662591.75</v>
      </c>
    </row>
    <row r="41" spans="1:8" x14ac:dyDescent="0.45">
      <c r="A41" s="81" t="s">
        <v>122</v>
      </c>
      <c r="B41" s="82"/>
      <c r="D41" s="82">
        <f>+++++++C40</f>
        <v>1662591.75</v>
      </c>
    </row>
    <row r="42" spans="1:8" x14ac:dyDescent="0.45">
      <c r="B42" s="82"/>
    </row>
    <row r="43" spans="1:8" x14ac:dyDescent="0.45">
      <c r="B43" s="82"/>
    </row>
    <row r="44" spans="1:8" x14ac:dyDescent="0.45">
      <c r="A44" s="112" t="s">
        <v>33</v>
      </c>
      <c r="B44" s="82"/>
    </row>
    <row r="45" spans="1:8" x14ac:dyDescent="0.45">
      <c r="A45" s="81" t="s">
        <v>103</v>
      </c>
      <c r="B45" s="82"/>
      <c r="C45" s="77">
        <f>+G16+G17</f>
        <v>8142782.1798469992</v>
      </c>
    </row>
    <row r="46" spans="1:8" x14ac:dyDescent="0.45">
      <c r="A46" s="81" t="s">
        <v>100</v>
      </c>
      <c r="B46" s="82"/>
    </row>
    <row r="47" spans="1:8" x14ac:dyDescent="0.45">
      <c r="A47" s="81" t="s">
        <v>99</v>
      </c>
      <c r="B47" s="82"/>
      <c r="H47" s="99"/>
    </row>
    <row r="48" spans="1:8" x14ac:dyDescent="0.45">
      <c r="B48" s="82"/>
    </row>
    <row r="49" spans="1:10" x14ac:dyDescent="0.45">
      <c r="B49" s="82"/>
    </row>
    <row r="50" spans="1:10" x14ac:dyDescent="0.45">
      <c r="B50" s="82"/>
    </row>
    <row r="51" spans="1:10" x14ac:dyDescent="0.45">
      <c r="B51" s="82"/>
      <c r="C51" s="82"/>
      <c r="E51" s="82"/>
      <c r="F51" s="82"/>
      <c r="G51" s="82"/>
      <c r="I51" s="82"/>
      <c r="J51" s="82"/>
    </row>
    <row r="52" spans="1:10" x14ac:dyDescent="0.45">
      <c r="B52" s="82"/>
    </row>
    <row r="53" spans="1:10" x14ac:dyDescent="0.45">
      <c r="B53" s="77"/>
    </row>
    <row r="54" spans="1:10" x14ac:dyDescent="0.45">
      <c r="B54" s="82"/>
    </row>
    <row r="55" spans="1:10" x14ac:dyDescent="0.45">
      <c r="B55" s="82"/>
      <c r="C55" s="82"/>
      <c r="E55" s="82"/>
      <c r="F55" s="82"/>
      <c r="G55" s="82"/>
      <c r="J55" s="82"/>
    </row>
    <row r="56" spans="1:10" x14ac:dyDescent="0.45">
      <c r="B56" s="82"/>
      <c r="C56" s="82"/>
      <c r="E56" s="82"/>
      <c r="F56" s="82"/>
      <c r="G56" s="82"/>
      <c r="J56" s="82"/>
    </row>
    <row r="57" spans="1:10" x14ac:dyDescent="0.45">
      <c r="B57" s="82"/>
    </row>
    <row r="58" spans="1:10" x14ac:dyDescent="0.45">
      <c r="A58" s="114"/>
      <c r="B58" s="82"/>
      <c r="H58" s="99"/>
    </row>
    <row r="59" spans="1:10" x14ac:dyDescent="0.45">
      <c r="A59" s="115"/>
      <c r="B59" s="82"/>
    </row>
    <row r="60" spans="1:10" x14ac:dyDescent="0.45">
      <c r="A60" s="115"/>
      <c r="B60" s="82"/>
    </row>
    <row r="61" spans="1:10" x14ac:dyDescent="0.45">
      <c r="A61" s="115"/>
      <c r="B61" s="82"/>
    </row>
    <row r="62" spans="1:10" x14ac:dyDescent="0.45">
      <c r="B62" s="82"/>
    </row>
    <row r="63" spans="1:10" x14ac:dyDescent="0.45">
      <c r="B63" s="116"/>
    </row>
    <row r="64" spans="1:10" x14ac:dyDescent="0.45">
      <c r="B64" s="82"/>
    </row>
    <row r="65" spans="1:10" x14ac:dyDescent="0.45">
      <c r="B65" s="82"/>
      <c r="C65" s="82"/>
      <c r="E65" s="82"/>
      <c r="F65" s="82"/>
      <c r="G65" s="82"/>
      <c r="J65" s="82"/>
    </row>
    <row r="66" spans="1:10" x14ac:dyDescent="0.45">
      <c r="B66" s="82"/>
      <c r="C66" s="82"/>
      <c r="E66" s="82"/>
      <c r="F66" s="82"/>
      <c r="G66" s="82"/>
    </row>
    <row r="67" spans="1:10" x14ac:dyDescent="0.45">
      <c r="B67" s="82"/>
      <c r="C67" s="82"/>
      <c r="E67" s="82"/>
      <c r="F67" s="82"/>
      <c r="G67" s="82"/>
      <c r="J67" s="82"/>
    </row>
    <row r="68" spans="1:10" x14ac:dyDescent="0.45">
      <c r="B68" s="82"/>
      <c r="C68" s="82"/>
      <c r="E68" s="82"/>
      <c r="F68" s="82"/>
      <c r="G68" s="82"/>
      <c r="J68" s="82"/>
    </row>
    <row r="69" spans="1:10" x14ac:dyDescent="0.45">
      <c r="B69" s="82"/>
    </row>
    <row r="70" spans="1:10" x14ac:dyDescent="0.45">
      <c r="B70" s="117"/>
      <c r="C70" s="117"/>
      <c r="D70" s="117"/>
      <c r="E70" s="117"/>
      <c r="F70" s="117"/>
      <c r="G70" s="117"/>
      <c r="H70" s="118"/>
      <c r="I70" s="119"/>
      <c r="J70" s="117"/>
    </row>
    <row r="71" spans="1:10" x14ac:dyDescent="0.45">
      <c r="A71" s="120"/>
      <c r="B71" s="120"/>
    </row>
    <row r="72" spans="1:10" x14ac:dyDescent="0.45">
      <c r="A72" s="121"/>
      <c r="B72" s="121"/>
    </row>
    <row r="73" spans="1:10" x14ac:dyDescent="0.45">
      <c r="A73" s="121"/>
      <c r="B73" s="121"/>
    </row>
    <row r="74" spans="1:10" ht="18" customHeight="1" x14ac:dyDescent="0.45">
      <c r="A74" s="121"/>
      <c r="B74" s="121"/>
    </row>
    <row r="75" spans="1:10" x14ac:dyDescent="0.45">
      <c r="B75" s="82"/>
    </row>
    <row r="76" spans="1:10" x14ac:dyDescent="0.45">
      <c r="B76" s="82"/>
      <c r="E76" s="82"/>
      <c r="F76" s="82"/>
      <c r="H76" s="99"/>
    </row>
    <row r="77" spans="1:10" x14ac:dyDescent="0.45">
      <c r="B77" s="82"/>
      <c r="E77" s="82"/>
      <c r="F77" s="82"/>
    </row>
    <row r="78" spans="1:10" x14ac:dyDescent="0.45">
      <c r="B78" s="82"/>
      <c r="E78" s="82"/>
      <c r="F78" s="82"/>
    </row>
    <row r="79" spans="1:10" x14ac:dyDescent="0.45">
      <c r="B79" s="82"/>
      <c r="E79" s="82"/>
      <c r="F79" s="82"/>
      <c r="H79" s="99"/>
    </row>
    <row r="80" spans="1:10" x14ac:dyDescent="0.45">
      <c r="B80" s="82"/>
      <c r="E80" s="82"/>
      <c r="F80" s="82"/>
    </row>
    <row r="81" spans="2:8" x14ac:dyDescent="0.45">
      <c r="B81" s="82"/>
      <c r="C81" s="82"/>
      <c r="E81" s="82"/>
      <c r="F81" s="82"/>
      <c r="G81" s="82"/>
    </row>
    <row r="82" spans="2:8" x14ac:dyDescent="0.45">
      <c r="B82" s="82"/>
      <c r="E82" s="82"/>
      <c r="F82" s="82"/>
      <c r="G82" s="82"/>
    </row>
    <row r="83" spans="2:8" x14ac:dyDescent="0.45">
      <c r="B83" s="82"/>
      <c r="C83" s="82"/>
      <c r="E83" s="82"/>
      <c r="F83" s="82"/>
    </row>
    <row r="84" spans="2:8" x14ac:dyDescent="0.45">
      <c r="B84" s="82"/>
      <c r="C84" s="82"/>
      <c r="E84" s="82"/>
      <c r="F84" s="82"/>
      <c r="H84" s="99"/>
    </row>
    <row r="85" spans="2:8" x14ac:dyDescent="0.45">
      <c r="B85" s="82"/>
      <c r="C85" s="82"/>
      <c r="E85" s="82"/>
      <c r="F85" s="82"/>
    </row>
    <row r="86" spans="2:8" x14ac:dyDescent="0.45">
      <c r="B86" s="82"/>
      <c r="C86" s="82"/>
      <c r="E86" s="82"/>
      <c r="F86" s="82"/>
    </row>
    <row r="87" spans="2:8" x14ac:dyDescent="0.45">
      <c r="B87" s="82"/>
      <c r="C87" s="82"/>
      <c r="E87" s="82"/>
      <c r="F87" s="82"/>
      <c r="G87" s="82"/>
    </row>
    <row r="88" spans="2:8" x14ac:dyDescent="0.45">
      <c r="B88" s="82"/>
      <c r="C88" s="82"/>
      <c r="E88" s="82"/>
      <c r="F88" s="82"/>
      <c r="G88" s="82"/>
    </row>
    <row r="89" spans="2:8" x14ac:dyDescent="0.45">
      <c r="B89" s="82"/>
      <c r="C89" s="82"/>
      <c r="E89" s="82"/>
      <c r="F89" s="82"/>
      <c r="G89" s="82"/>
    </row>
    <row r="90" spans="2:8" x14ac:dyDescent="0.45">
      <c r="B90" s="82"/>
      <c r="C90" s="82"/>
      <c r="E90" s="82"/>
      <c r="F90" s="82"/>
    </row>
    <row r="91" spans="2:8" x14ac:dyDescent="0.45">
      <c r="B91" s="116"/>
      <c r="C91" s="116"/>
      <c r="D91" s="116"/>
      <c r="E91" s="116"/>
      <c r="F91" s="116"/>
    </row>
    <row r="92" spans="2:8" x14ac:dyDescent="0.45">
      <c r="B92" s="120"/>
      <c r="C92" s="120"/>
      <c r="D92" s="120"/>
      <c r="E92" s="120"/>
      <c r="F92" s="120"/>
      <c r="G92" s="120"/>
    </row>
    <row r="93" spans="2:8" x14ac:dyDescent="0.45">
      <c r="B93" s="116"/>
      <c r="C93" s="116"/>
      <c r="D93" s="116"/>
      <c r="E93" s="116"/>
      <c r="F93" s="116"/>
      <c r="G93" s="116"/>
    </row>
    <row r="94" spans="2:8" x14ac:dyDescent="0.45">
      <c r="B94" s="82"/>
      <c r="C94" s="82"/>
      <c r="E94" s="82"/>
      <c r="F94" s="82"/>
      <c r="G94" s="82"/>
    </row>
    <row r="95" spans="2:8" ht="9.9499999999999993" customHeight="1" x14ac:dyDescent="0.45">
      <c r="B95" s="82"/>
      <c r="C95" s="82"/>
      <c r="E95" s="82"/>
      <c r="F95" s="82"/>
      <c r="G95" s="82"/>
    </row>
    <row r="96" spans="2:8" x14ac:dyDescent="0.45">
      <c r="B96" s="82"/>
    </row>
    <row r="97" spans="2:2" x14ac:dyDescent="0.45">
      <c r="B97" s="82"/>
    </row>
    <row r="98" spans="2:2" x14ac:dyDescent="0.45">
      <c r="B98" s="82"/>
    </row>
    <row r="99" spans="2:2" x14ac:dyDescent="0.45">
      <c r="B99" s="82"/>
    </row>
    <row r="100" spans="2:2" x14ac:dyDescent="0.45">
      <c r="B100" s="82"/>
    </row>
    <row r="101" spans="2:2" x14ac:dyDescent="0.45">
      <c r="B101" s="82"/>
    </row>
  </sheetData>
  <mergeCells count="1">
    <mergeCell ref="H4:I4"/>
  </mergeCells>
  <phoneticPr fontId="0" type="noConversion"/>
  <pageMargins left="0.75" right="0.22" top="1" bottom="1" header="0.5" footer="0.5"/>
  <pageSetup paperSize="9" scale="76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92"/>
  <sheetViews>
    <sheetView view="pageBreakPreview" topLeftCell="A3" zoomScaleNormal="100" workbookViewId="0">
      <pane xSplit="3" ySplit="2" topLeftCell="D56" activePane="bottomRight" state="frozen"/>
      <selection activeCell="A3" sqref="A3"/>
      <selection pane="topRight" activeCell="D3" sqref="D3"/>
      <selection pane="bottomLeft" activeCell="A5" sqref="A5"/>
      <selection pane="bottomRight" activeCell="C18" sqref="C18"/>
    </sheetView>
  </sheetViews>
  <sheetFormatPr defaultColWidth="9.140625" defaultRowHeight="18" x14ac:dyDescent="0.4"/>
  <cols>
    <col min="1" max="2" width="2.7109375" style="3" customWidth="1"/>
    <col min="3" max="3" width="36.7109375" style="3" customWidth="1"/>
    <col min="4" max="5" width="12.7109375" style="5" customWidth="1"/>
    <col min="6" max="6" width="12.7109375" style="1" customWidth="1"/>
    <col min="7" max="7" width="12.7109375" style="2" customWidth="1"/>
    <col min="8" max="10" width="12.7109375" style="1" customWidth="1"/>
    <col min="11" max="11" width="15.28515625" style="48" customWidth="1"/>
    <col min="12" max="13" width="12.7109375" style="1" customWidth="1"/>
    <col min="14" max="14" width="2.28515625" style="3" customWidth="1"/>
    <col min="15" max="16" width="12.7109375" style="3" customWidth="1"/>
    <col min="17" max="16384" width="9.140625" style="3"/>
  </cols>
  <sheetData>
    <row r="1" spans="1:15" x14ac:dyDescent="0.4">
      <c r="A1" s="41" t="s">
        <v>52</v>
      </c>
      <c r="B1" s="24"/>
      <c r="C1" s="24"/>
      <c r="D1" s="24"/>
      <c r="E1" s="24"/>
      <c r="G1" s="38"/>
      <c r="H1" s="39"/>
      <c r="I1" s="39"/>
    </row>
    <row r="2" spans="1:15" ht="21.75" customHeight="1" x14ac:dyDescent="0.4">
      <c r="A2" s="41" t="s">
        <v>70</v>
      </c>
      <c r="B2" s="24"/>
      <c r="C2" s="24"/>
      <c r="D2" s="24"/>
      <c r="E2" s="24"/>
    </row>
    <row r="3" spans="1:15" ht="21.75" customHeight="1" x14ac:dyDescent="0.4">
      <c r="A3" s="36" t="s">
        <v>69</v>
      </c>
      <c r="B3" s="24"/>
      <c r="C3" s="24"/>
      <c r="D3" s="24"/>
      <c r="E3" s="24"/>
      <c r="K3" s="304" t="s">
        <v>71</v>
      </c>
      <c r="L3" s="304"/>
    </row>
    <row r="4" spans="1:15" s="33" customFormat="1" ht="18" customHeight="1" x14ac:dyDescent="0.4">
      <c r="D4" s="42" t="s">
        <v>62</v>
      </c>
      <c r="E4" s="42" t="s">
        <v>63</v>
      </c>
      <c r="F4" s="44" t="s">
        <v>64</v>
      </c>
      <c r="G4" s="45" t="s">
        <v>65</v>
      </c>
      <c r="H4" s="44" t="s">
        <v>66</v>
      </c>
      <c r="I4" s="44" t="s">
        <v>67</v>
      </c>
      <c r="J4" s="44" t="s">
        <v>27</v>
      </c>
      <c r="K4" s="49" t="s">
        <v>72</v>
      </c>
      <c r="L4" s="46" t="s">
        <v>73</v>
      </c>
      <c r="M4" s="43" t="s">
        <v>33</v>
      </c>
    </row>
    <row r="5" spans="1:15" x14ac:dyDescent="0.4">
      <c r="A5" s="8" t="s">
        <v>8</v>
      </c>
      <c r="B5" s="8"/>
      <c r="C5" s="8"/>
      <c r="D5" s="10"/>
      <c r="E5" s="10"/>
    </row>
    <row r="6" spans="1:15" x14ac:dyDescent="0.4">
      <c r="A6" s="8"/>
      <c r="B6" s="8" t="s">
        <v>17</v>
      </c>
      <c r="C6" s="8"/>
      <c r="D6" s="5">
        <v>316767129.02999997</v>
      </c>
      <c r="E6" s="10">
        <v>19205751.710000001</v>
      </c>
      <c r="F6" s="1">
        <v>683</v>
      </c>
      <c r="G6" s="2">
        <v>1253.52</v>
      </c>
      <c r="H6" s="1">
        <v>4071032.52</v>
      </c>
      <c r="I6" s="1">
        <v>1144397.81</v>
      </c>
      <c r="J6" s="1">
        <f>+I6+H6+G6+F6+E6+D6</f>
        <v>341190247.58999997</v>
      </c>
      <c r="M6" s="1">
        <f>+L6+J6</f>
        <v>341190247.58999997</v>
      </c>
    </row>
    <row r="7" spans="1:15" x14ac:dyDescent="0.4">
      <c r="A7" s="8"/>
      <c r="B7" s="8" t="s">
        <v>53</v>
      </c>
      <c r="C7" s="8"/>
      <c r="D7" s="5">
        <v>40216527.100000001</v>
      </c>
      <c r="E7" s="10"/>
      <c r="J7" s="1">
        <f t="shared" ref="J7:J18" si="0">+I7+H7+G7+F7+E7+D7</f>
        <v>40216527.100000001</v>
      </c>
      <c r="M7" s="1">
        <f t="shared" ref="M7:M78" si="1">+L7+J7</f>
        <v>40216527.100000001</v>
      </c>
    </row>
    <row r="8" spans="1:15" x14ac:dyDescent="0.4">
      <c r="A8" s="8"/>
      <c r="B8" s="8" t="s">
        <v>74</v>
      </c>
      <c r="C8" s="8"/>
      <c r="D8" s="10">
        <v>6241052.1100000003</v>
      </c>
      <c r="E8" s="10"/>
      <c r="H8" s="1">
        <v>0</v>
      </c>
      <c r="J8" s="1">
        <f t="shared" si="0"/>
        <v>6241052.1100000003</v>
      </c>
      <c r="K8" s="52" t="s">
        <v>84</v>
      </c>
      <c r="L8" s="1">
        <v>-4636052.1100000003</v>
      </c>
      <c r="M8" s="1">
        <f t="shared" si="1"/>
        <v>1605000</v>
      </c>
    </row>
    <row r="9" spans="1:15" x14ac:dyDescent="0.4">
      <c r="A9" s="8"/>
      <c r="B9" s="8" t="s">
        <v>75</v>
      </c>
      <c r="C9" s="8"/>
      <c r="D9" s="10">
        <v>5331982.99</v>
      </c>
      <c r="E9" s="10"/>
      <c r="H9" s="1">
        <v>0</v>
      </c>
      <c r="J9" s="1">
        <f t="shared" si="0"/>
        <v>5331982.99</v>
      </c>
      <c r="M9" s="1">
        <f t="shared" si="1"/>
        <v>5331982.99</v>
      </c>
    </row>
    <row r="10" spans="1:15" x14ac:dyDescent="0.4">
      <c r="A10" s="8"/>
      <c r="B10" s="8" t="s">
        <v>113</v>
      </c>
      <c r="C10" s="8"/>
      <c r="D10" s="10"/>
      <c r="E10" s="10"/>
      <c r="H10" s="56">
        <f>4274821.25+348965</f>
        <v>4623786.25</v>
      </c>
      <c r="J10" s="1">
        <f t="shared" si="0"/>
        <v>4623786.25</v>
      </c>
      <c r="K10" s="48" t="s">
        <v>130</v>
      </c>
      <c r="L10" s="1">
        <v>-4274821.25</v>
      </c>
      <c r="M10" s="1">
        <f t="shared" si="1"/>
        <v>348965</v>
      </c>
    </row>
    <row r="11" spans="1:15" x14ac:dyDescent="0.4">
      <c r="A11" s="8"/>
      <c r="B11" s="8" t="s">
        <v>76</v>
      </c>
      <c r="C11" s="8"/>
      <c r="D11" s="10">
        <v>90000</v>
      </c>
      <c r="E11" s="10"/>
      <c r="H11" s="1">
        <v>0</v>
      </c>
      <c r="J11" s="1">
        <f t="shared" si="0"/>
        <v>90000</v>
      </c>
      <c r="K11" s="52" t="s">
        <v>85</v>
      </c>
      <c r="L11" s="1">
        <v>-90000</v>
      </c>
      <c r="M11" s="1">
        <f t="shared" si="1"/>
        <v>0</v>
      </c>
    </row>
    <row r="12" spans="1:15" x14ac:dyDescent="0.4">
      <c r="A12" s="8"/>
      <c r="B12" s="8" t="s">
        <v>77</v>
      </c>
      <c r="C12" s="8"/>
      <c r="D12" s="10">
        <v>150000</v>
      </c>
      <c r="E12" s="1"/>
      <c r="H12" s="1">
        <v>0</v>
      </c>
      <c r="J12" s="1">
        <f t="shared" si="0"/>
        <v>150000</v>
      </c>
      <c r="M12" s="1">
        <f t="shared" si="1"/>
        <v>150000</v>
      </c>
    </row>
    <row r="13" spans="1:15" x14ac:dyDescent="0.4">
      <c r="A13" s="8"/>
      <c r="B13" s="8" t="s">
        <v>32</v>
      </c>
      <c r="C13" s="8"/>
      <c r="D13" s="10">
        <v>0</v>
      </c>
      <c r="E13" s="10"/>
      <c r="F13" s="2"/>
      <c r="H13" s="1">
        <v>0</v>
      </c>
      <c r="J13" s="1">
        <f t="shared" si="0"/>
        <v>0</v>
      </c>
      <c r="M13" s="1">
        <f t="shared" si="1"/>
        <v>0</v>
      </c>
    </row>
    <row r="14" spans="1:15" x14ac:dyDescent="0.4">
      <c r="A14" s="8"/>
      <c r="B14" s="8" t="s">
        <v>44</v>
      </c>
      <c r="C14" s="8"/>
      <c r="D14" s="10"/>
      <c r="E14" s="10"/>
      <c r="F14" s="2"/>
      <c r="H14" s="1">
        <v>0</v>
      </c>
      <c r="J14" s="1">
        <f t="shared" si="0"/>
        <v>0</v>
      </c>
      <c r="M14" s="1">
        <f t="shared" si="1"/>
        <v>0</v>
      </c>
    </row>
    <row r="15" spans="1:15" x14ac:dyDescent="0.4">
      <c r="A15" s="8"/>
      <c r="B15" s="8"/>
      <c r="C15" s="8" t="s">
        <v>1</v>
      </c>
      <c r="D15" s="10">
        <v>1345040.03</v>
      </c>
      <c r="E15" s="10">
        <v>25395.599999999999</v>
      </c>
      <c r="F15" s="2"/>
      <c r="H15" s="1">
        <v>63528.73</v>
      </c>
      <c r="J15" s="1">
        <f t="shared" si="0"/>
        <v>1433964.36</v>
      </c>
      <c r="M15" s="1">
        <f t="shared" si="1"/>
        <v>1433964.36</v>
      </c>
      <c r="O15" s="4">
        <f>1433964.36-M15</f>
        <v>0</v>
      </c>
    </row>
    <row r="16" spans="1:15" x14ac:dyDescent="0.4">
      <c r="A16" s="8"/>
      <c r="B16" s="8"/>
      <c r="C16" s="8" t="s">
        <v>28</v>
      </c>
      <c r="D16" s="10">
        <v>485562.25</v>
      </c>
      <c r="E16" s="10">
        <f>114906.28-92587.07</f>
        <v>22319.209999999992</v>
      </c>
      <c r="F16" s="2">
        <v>6340.21</v>
      </c>
      <c r="G16" s="2">
        <v>11953.42</v>
      </c>
      <c r="H16" s="1">
        <v>0</v>
      </c>
      <c r="J16" s="1">
        <f t="shared" si="0"/>
        <v>526175.09</v>
      </c>
      <c r="M16" s="1">
        <f t="shared" si="1"/>
        <v>526175.09</v>
      </c>
    </row>
    <row r="17" spans="1:15" x14ac:dyDescent="0.4">
      <c r="A17" s="8"/>
      <c r="B17" s="8"/>
      <c r="C17" s="8" t="s">
        <v>10</v>
      </c>
      <c r="D17" s="10"/>
      <c r="E17" s="10">
        <v>15664.65</v>
      </c>
      <c r="F17" s="2">
        <v>47620.07</v>
      </c>
      <c r="G17" s="2">
        <v>1929.28</v>
      </c>
      <c r="H17" s="1">
        <v>0</v>
      </c>
      <c r="J17" s="1">
        <f t="shared" si="0"/>
        <v>65214</v>
      </c>
      <c r="M17" s="1">
        <f t="shared" si="1"/>
        <v>65214</v>
      </c>
    </row>
    <row r="18" spans="1:15" x14ac:dyDescent="0.4">
      <c r="A18" s="8"/>
      <c r="B18" s="8"/>
      <c r="C18" s="8" t="s">
        <v>43</v>
      </c>
      <c r="D18" s="10">
        <f>529964.28-D16</f>
        <v>44402.030000000028</v>
      </c>
      <c r="E18" s="10">
        <f>640872.49-E15-E26-150730.5</f>
        <v>12292.48000000004</v>
      </c>
      <c r="F18" s="1">
        <f>55082.67-39.15</f>
        <v>55043.519999999997</v>
      </c>
      <c r="G18" s="2">
        <f>69260.12-G16-G26</f>
        <v>57245.56</v>
      </c>
      <c r="H18" s="1">
        <v>0</v>
      </c>
      <c r="J18" s="1">
        <f t="shared" si="0"/>
        <v>168983.59000000005</v>
      </c>
      <c r="L18" s="69">
        <v>615.72</v>
      </c>
      <c r="M18" s="1">
        <f t="shared" si="1"/>
        <v>169599.31000000006</v>
      </c>
      <c r="O18" s="4">
        <f>+M18+M17+M16-760988.4</f>
        <v>0</v>
      </c>
    </row>
    <row r="19" spans="1:15" x14ac:dyDescent="0.4">
      <c r="A19" s="8"/>
      <c r="B19" s="8"/>
      <c r="C19" s="8" t="s">
        <v>18</v>
      </c>
      <c r="D19" s="15">
        <f t="shared" ref="D19:J19" si="2">SUM(D6:D18)</f>
        <v>370671695.53999996</v>
      </c>
      <c r="E19" s="15">
        <f t="shared" si="2"/>
        <v>19281423.650000002</v>
      </c>
      <c r="F19" s="15">
        <f t="shared" si="2"/>
        <v>109686.79999999999</v>
      </c>
      <c r="G19" s="15">
        <f t="shared" si="2"/>
        <v>72381.78</v>
      </c>
      <c r="H19" s="15">
        <f t="shared" si="2"/>
        <v>8758347.5</v>
      </c>
      <c r="I19" s="15">
        <f t="shared" si="2"/>
        <v>1144397.81</v>
      </c>
      <c r="J19" s="15">
        <f t="shared" si="2"/>
        <v>400037933.07999998</v>
      </c>
      <c r="K19" s="50"/>
      <c r="L19" s="16"/>
      <c r="M19" s="15">
        <f>SUM(M6:M18)</f>
        <v>391037675.44</v>
      </c>
    </row>
    <row r="20" spans="1:15" x14ac:dyDescent="0.4">
      <c r="A20" s="8" t="s">
        <v>45</v>
      </c>
      <c r="B20" s="8"/>
      <c r="C20" s="8"/>
      <c r="D20" s="10"/>
      <c r="E20" s="10"/>
      <c r="K20" s="52"/>
    </row>
    <row r="21" spans="1:15" x14ac:dyDescent="0.4">
      <c r="A21" s="8"/>
      <c r="B21" s="8" t="s">
        <v>54</v>
      </c>
      <c r="C21" s="8"/>
      <c r="D21" s="40">
        <v>56419678</v>
      </c>
      <c r="E21" s="10"/>
      <c r="H21" s="1">
        <v>0</v>
      </c>
      <c r="J21" s="1">
        <f t="shared" ref="J21:J27" si="3">+I21+H21+G21+F21+E21+D21</f>
        <v>56419678</v>
      </c>
      <c r="K21" s="52" t="s">
        <v>87</v>
      </c>
      <c r="L21" s="1">
        <v>-56419678</v>
      </c>
      <c r="M21" s="1">
        <f>+J21+L21</f>
        <v>0</v>
      </c>
    </row>
    <row r="22" spans="1:15" x14ac:dyDescent="0.4">
      <c r="A22" s="8"/>
      <c r="B22" s="8" t="s">
        <v>112</v>
      </c>
      <c r="C22" s="8"/>
      <c r="D22" s="40">
        <v>-22681399.34</v>
      </c>
      <c r="E22" s="10"/>
      <c r="J22" s="1">
        <f t="shared" si="3"/>
        <v>-22681399.34</v>
      </c>
      <c r="K22" s="52" t="s">
        <v>109</v>
      </c>
      <c r="L22" s="1">
        <v>22681399.34</v>
      </c>
      <c r="M22" s="1">
        <f>+J22+L22</f>
        <v>0</v>
      </c>
    </row>
    <row r="23" spans="1:15" x14ac:dyDescent="0.4">
      <c r="A23" s="8"/>
      <c r="B23" s="8" t="s">
        <v>55</v>
      </c>
      <c r="C23" s="8"/>
      <c r="D23" s="10">
        <v>5315259</v>
      </c>
      <c r="E23" s="10"/>
      <c r="G23" s="2">
        <v>24900100</v>
      </c>
      <c r="H23" s="1">
        <v>0</v>
      </c>
      <c r="J23" s="1">
        <f t="shared" si="3"/>
        <v>30215359</v>
      </c>
      <c r="M23" s="1">
        <f t="shared" si="1"/>
        <v>30215359</v>
      </c>
    </row>
    <row r="24" spans="1:15" x14ac:dyDescent="0.4">
      <c r="A24" s="8"/>
      <c r="B24" s="8" t="s">
        <v>81</v>
      </c>
      <c r="C24" s="8"/>
      <c r="D24" s="5">
        <v>4125330.22</v>
      </c>
      <c r="E24" s="10">
        <v>4036.43</v>
      </c>
      <c r="F24" s="1">
        <v>137242.54</v>
      </c>
      <c r="H24" s="1">
        <v>0</v>
      </c>
      <c r="J24" s="1">
        <f t="shared" si="3"/>
        <v>4266609.1900000004</v>
      </c>
      <c r="M24" s="1">
        <f>+J24+L24</f>
        <v>4266609.1900000004</v>
      </c>
    </row>
    <row r="25" spans="1:15" x14ac:dyDescent="0.4">
      <c r="A25" s="8"/>
      <c r="B25" s="8" t="s">
        <v>46</v>
      </c>
      <c r="C25" s="8"/>
      <c r="D25" s="10"/>
      <c r="E25" s="10"/>
      <c r="H25" s="1">
        <v>0</v>
      </c>
      <c r="J25" s="1">
        <f t="shared" si="3"/>
        <v>0</v>
      </c>
      <c r="M25" s="1">
        <f t="shared" si="1"/>
        <v>0</v>
      </c>
    </row>
    <row r="26" spans="1:15" x14ac:dyDescent="0.4">
      <c r="A26" s="8"/>
      <c r="B26" s="8"/>
      <c r="C26" s="8" t="s">
        <v>31</v>
      </c>
      <c r="D26" s="10">
        <f>1301692.81+0.01</f>
        <v>1301692.82</v>
      </c>
      <c r="E26" s="10">
        <v>452453.91</v>
      </c>
      <c r="F26" s="2">
        <v>39.15</v>
      </c>
      <c r="G26" s="2">
        <v>61.14</v>
      </c>
      <c r="H26" s="1">
        <v>0</v>
      </c>
      <c r="J26" s="1">
        <f t="shared" si="3"/>
        <v>1754247.02</v>
      </c>
      <c r="M26" s="1">
        <f t="shared" si="1"/>
        <v>1754247.02</v>
      </c>
      <c r="O26" s="4">
        <f>1754247.02-M26</f>
        <v>0</v>
      </c>
    </row>
    <row r="27" spans="1:15" x14ac:dyDescent="0.4">
      <c r="A27" s="8"/>
      <c r="B27" s="8"/>
      <c r="C27" s="8" t="s">
        <v>80</v>
      </c>
      <c r="D27" s="5">
        <v>1494433.31</v>
      </c>
      <c r="E27" s="10">
        <v>0</v>
      </c>
      <c r="H27" s="1">
        <v>0</v>
      </c>
      <c r="J27" s="1">
        <f t="shared" si="3"/>
        <v>1494433.31</v>
      </c>
      <c r="M27" s="1">
        <f t="shared" si="1"/>
        <v>1494433.31</v>
      </c>
    </row>
    <row r="28" spans="1:15" x14ac:dyDescent="0.4">
      <c r="A28" s="8"/>
      <c r="B28" s="8"/>
      <c r="C28" s="8" t="s">
        <v>19</v>
      </c>
      <c r="D28" s="15">
        <f t="shared" ref="D28:J28" si="4">SUM(D21:D27)</f>
        <v>45974994.009999998</v>
      </c>
      <c r="E28" s="15">
        <f t="shared" si="4"/>
        <v>456490.33999999997</v>
      </c>
      <c r="F28" s="15">
        <f t="shared" si="4"/>
        <v>137281.69</v>
      </c>
      <c r="G28" s="15">
        <f t="shared" si="4"/>
        <v>24900161.140000001</v>
      </c>
      <c r="H28" s="15">
        <f t="shared" si="4"/>
        <v>0</v>
      </c>
      <c r="I28" s="15">
        <f t="shared" si="4"/>
        <v>0</v>
      </c>
      <c r="J28" s="15">
        <f t="shared" si="4"/>
        <v>71468927.179999992</v>
      </c>
      <c r="M28" s="15">
        <f>SUM(M21:M27)</f>
        <v>37730648.520000003</v>
      </c>
    </row>
    <row r="29" spans="1:15" ht="18.75" thickBot="1" x14ac:dyDescent="0.45">
      <c r="A29" s="8" t="s">
        <v>47</v>
      </c>
      <c r="B29" s="8"/>
      <c r="C29" s="8"/>
      <c r="D29" s="18">
        <f t="shared" ref="D29:J29" si="5">+D28+D19</f>
        <v>416646689.54999995</v>
      </c>
      <c r="E29" s="18">
        <f t="shared" si="5"/>
        <v>19737913.990000002</v>
      </c>
      <c r="F29" s="18">
        <f t="shared" si="5"/>
        <v>246968.49</v>
      </c>
      <c r="G29" s="18">
        <f t="shared" si="5"/>
        <v>24972542.920000002</v>
      </c>
      <c r="H29" s="18">
        <f t="shared" si="5"/>
        <v>8758347.5</v>
      </c>
      <c r="I29" s="18">
        <f t="shared" si="5"/>
        <v>1144397.81</v>
      </c>
      <c r="J29" s="18">
        <f t="shared" si="5"/>
        <v>471506860.25999999</v>
      </c>
      <c r="M29" s="18">
        <f>+M28+M19</f>
        <v>428768323.95999998</v>
      </c>
    </row>
    <row r="30" spans="1:15" ht="18.75" thickTop="1" x14ac:dyDescent="0.4">
      <c r="A30" s="8" t="s">
        <v>48</v>
      </c>
      <c r="B30" s="8"/>
      <c r="C30" s="8"/>
      <c r="D30" s="10"/>
      <c r="E30" s="10"/>
    </row>
    <row r="31" spans="1:15" x14ac:dyDescent="0.4">
      <c r="A31" s="8"/>
      <c r="B31" s="8" t="s">
        <v>78</v>
      </c>
      <c r="C31" s="8"/>
      <c r="D31" s="10"/>
      <c r="E31" s="10"/>
      <c r="J31" s="1">
        <f t="shared" ref="J31:J39" si="6">+I31+H31+G31+F31+E31+D31</f>
        <v>0</v>
      </c>
      <c r="M31" s="1">
        <f t="shared" si="1"/>
        <v>0</v>
      </c>
    </row>
    <row r="32" spans="1:15" x14ac:dyDescent="0.4">
      <c r="A32" s="8"/>
      <c r="B32" s="8" t="s">
        <v>82</v>
      </c>
      <c r="C32" s="8"/>
      <c r="D32" s="10"/>
      <c r="E32" s="62">
        <v>-85088.98</v>
      </c>
      <c r="F32" s="56">
        <v>-2456075.3199999998</v>
      </c>
      <c r="G32" s="63">
        <v>-2094887.81</v>
      </c>
      <c r="J32" s="1">
        <f t="shared" si="6"/>
        <v>-4636052.1100000003</v>
      </c>
      <c r="L32" s="1">
        <v>4636052.1100000003</v>
      </c>
      <c r="M32" s="1">
        <f t="shared" si="1"/>
        <v>0</v>
      </c>
    </row>
    <row r="33" spans="1:15" x14ac:dyDescent="0.4">
      <c r="A33" s="8"/>
      <c r="B33" s="8" t="s">
        <v>83</v>
      </c>
      <c r="C33" s="8"/>
      <c r="D33" s="10"/>
      <c r="E33" s="10"/>
      <c r="J33" s="1">
        <f t="shared" si="6"/>
        <v>0</v>
      </c>
      <c r="M33" s="1">
        <f t="shared" si="1"/>
        <v>0</v>
      </c>
    </row>
    <row r="34" spans="1:15" x14ac:dyDescent="0.4">
      <c r="A34" s="8"/>
      <c r="B34" s="8" t="s">
        <v>49</v>
      </c>
      <c r="C34" s="8"/>
      <c r="D34" s="10"/>
      <c r="E34" s="10"/>
      <c r="J34" s="1">
        <f t="shared" si="6"/>
        <v>0</v>
      </c>
      <c r="M34" s="1">
        <f t="shared" si="1"/>
        <v>0</v>
      </c>
    </row>
    <row r="35" spans="1:15" x14ac:dyDescent="0.4">
      <c r="A35" s="8"/>
      <c r="B35" s="8"/>
      <c r="C35" s="8" t="s">
        <v>88</v>
      </c>
      <c r="D35" s="10">
        <v>-7229144</v>
      </c>
      <c r="E35" s="10"/>
      <c r="J35" s="1">
        <f t="shared" si="6"/>
        <v>-7229144</v>
      </c>
      <c r="M35" s="1">
        <f t="shared" si="1"/>
        <v>-7229144</v>
      </c>
    </row>
    <row r="36" spans="1:15" x14ac:dyDescent="0.4">
      <c r="A36" s="8"/>
      <c r="B36" s="8"/>
      <c r="C36" s="8" t="s">
        <v>11</v>
      </c>
      <c r="D36" s="10">
        <v>-2880868.96</v>
      </c>
      <c r="E36" s="10">
        <f>-371365.7-1002625+92587.07-27500</f>
        <v>-1308903.6299999999</v>
      </c>
      <c r="F36" s="1">
        <f>-401885-27500</f>
        <v>-429385</v>
      </c>
      <c r="G36" s="2">
        <v>-27500</v>
      </c>
      <c r="J36" s="1">
        <f>+I36+H36+G36+F36+E36+D36</f>
        <v>-4646657.59</v>
      </c>
      <c r="K36" s="52" t="s">
        <v>85</v>
      </c>
      <c r="L36" s="1">
        <v>90000</v>
      </c>
      <c r="M36" s="1">
        <f t="shared" si="1"/>
        <v>-4556657.59</v>
      </c>
    </row>
    <row r="37" spans="1:15" x14ac:dyDescent="0.4">
      <c r="A37" s="8"/>
      <c r="B37" s="8"/>
      <c r="C37" s="8" t="s">
        <v>26</v>
      </c>
      <c r="D37" s="10"/>
      <c r="E37" s="10">
        <v>0</v>
      </c>
      <c r="F37" s="1">
        <v>0</v>
      </c>
      <c r="G37" s="2">
        <v>0</v>
      </c>
      <c r="J37" s="1">
        <f t="shared" si="6"/>
        <v>0</v>
      </c>
      <c r="M37" s="1">
        <f t="shared" si="1"/>
        <v>0</v>
      </c>
    </row>
    <row r="38" spans="1:15" x14ac:dyDescent="0.4">
      <c r="A38" s="8"/>
      <c r="B38" s="8"/>
      <c r="C38" s="8" t="s">
        <v>12</v>
      </c>
      <c r="D38" s="10">
        <f>-13204842.35-0.01</f>
        <v>-13204842.359999999</v>
      </c>
      <c r="E38" s="10">
        <f>-4614429.72+150730.5--300787.5</f>
        <v>-4162911.7199999997</v>
      </c>
      <c r="F38" s="1">
        <v>0</v>
      </c>
      <c r="G38" s="2">
        <v>0</v>
      </c>
      <c r="J38" s="1">
        <f t="shared" si="6"/>
        <v>-17367754.079999998</v>
      </c>
      <c r="M38" s="1">
        <f t="shared" si="1"/>
        <v>-17367754.079999998</v>
      </c>
    </row>
    <row r="39" spans="1:15" x14ac:dyDescent="0.4">
      <c r="A39" s="8"/>
      <c r="B39" s="8"/>
      <c r="C39" s="8" t="s">
        <v>43</v>
      </c>
      <c r="D39" s="5">
        <v>-5637669.7599999998</v>
      </c>
      <c r="E39" s="10">
        <f>-248483.58+85088.98+27500</f>
        <v>-135894.59999999998</v>
      </c>
      <c r="F39" s="1">
        <f>-2598354.17+2456075.32+27500</f>
        <v>-114778.85000000009</v>
      </c>
      <c r="G39" s="2">
        <f>-2217170.09+2094887.81+27500</f>
        <v>-94782.279999999795</v>
      </c>
      <c r="J39" s="1">
        <f t="shared" si="6"/>
        <v>-5983125.4899999993</v>
      </c>
      <c r="M39" s="1">
        <f t="shared" si="1"/>
        <v>-5983125.4899999993</v>
      </c>
      <c r="O39" s="4">
        <f>5983125.49+M39</f>
        <v>0</v>
      </c>
    </row>
    <row r="40" spans="1:15" x14ac:dyDescent="0.4">
      <c r="A40" s="8"/>
      <c r="B40" s="8"/>
      <c r="C40" s="8" t="s">
        <v>20</v>
      </c>
      <c r="D40" s="15">
        <f>SUM(D31:D39)</f>
        <v>-28952525.079999998</v>
      </c>
      <c r="E40" s="15">
        <f>SUM(E31:E39)</f>
        <v>-5692798.9299999997</v>
      </c>
      <c r="F40" s="15">
        <f t="shared" ref="F40:M40" si="7">SUM(F31:F39)</f>
        <v>-3000239.17</v>
      </c>
      <c r="G40" s="15">
        <f t="shared" si="7"/>
        <v>-2217170.09</v>
      </c>
      <c r="H40" s="15">
        <f t="shared" si="7"/>
        <v>0</v>
      </c>
      <c r="I40" s="15">
        <f t="shared" si="7"/>
        <v>0</v>
      </c>
      <c r="J40" s="15">
        <f t="shared" si="7"/>
        <v>-39862733.270000003</v>
      </c>
      <c r="L40" s="16"/>
      <c r="M40" s="15">
        <f t="shared" si="7"/>
        <v>-35136681.159999996</v>
      </c>
    </row>
    <row r="41" spans="1:15" x14ac:dyDescent="0.4">
      <c r="A41" s="8" t="s">
        <v>50</v>
      </c>
      <c r="B41" s="8"/>
      <c r="C41" s="8"/>
      <c r="D41" s="10"/>
      <c r="E41" s="10"/>
    </row>
    <row r="42" spans="1:15" x14ac:dyDescent="0.4">
      <c r="A42" s="8"/>
      <c r="B42" s="8" t="s">
        <v>0</v>
      </c>
      <c r="C42" s="8"/>
      <c r="D42" s="10"/>
      <c r="E42" s="1"/>
      <c r="H42" s="1">
        <v>0</v>
      </c>
      <c r="J42" s="1">
        <f>+I42+H42+G42+F42+E42+D42</f>
        <v>0</v>
      </c>
      <c r="M42" s="1">
        <f t="shared" si="1"/>
        <v>0</v>
      </c>
    </row>
    <row r="43" spans="1:15" x14ac:dyDescent="0.4">
      <c r="A43" s="8"/>
      <c r="B43" s="8"/>
      <c r="C43" s="8" t="s">
        <v>43</v>
      </c>
      <c r="D43" s="40">
        <v>-1662591.75</v>
      </c>
      <c r="E43" s="10"/>
      <c r="H43" s="1">
        <v>0</v>
      </c>
      <c r="J43" s="1">
        <f>+I43+H43+G43+F43+E43+D43</f>
        <v>-1662591.75</v>
      </c>
      <c r="K43" s="52" t="s">
        <v>110</v>
      </c>
      <c r="L43" s="1">
        <v>1662591.75</v>
      </c>
      <c r="M43" s="56">
        <f t="shared" si="1"/>
        <v>0</v>
      </c>
    </row>
    <row r="44" spans="1:15" x14ac:dyDescent="0.4">
      <c r="A44" s="8"/>
      <c r="B44" s="8"/>
      <c r="C44" s="8" t="s">
        <v>21</v>
      </c>
      <c r="D44" s="15">
        <f t="shared" ref="D44:J44" si="8">SUM(D42:D43)</f>
        <v>-1662591.75</v>
      </c>
      <c r="E44" s="15">
        <f t="shared" si="8"/>
        <v>0</v>
      </c>
      <c r="F44" s="15">
        <f t="shared" si="8"/>
        <v>0</v>
      </c>
      <c r="G44" s="15">
        <f t="shared" si="8"/>
        <v>0</v>
      </c>
      <c r="H44" s="15">
        <f t="shared" si="8"/>
        <v>0</v>
      </c>
      <c r="I44" s="15">
        <f t="shared" si="8"/>
        <v>0</v>
      </c>
      <c r="J44" s="15">
        <f t="shared" si="8"/>
        <v>-1662591.75</v>
      </c>
      <c r="M44" s="15">
        <f>SUM(M42:M43)</f>
        <v>0</v>
      </c>
    </row>
    <row r="45" spans="1:15" ht="18.75" thickBot="1" x14ac:dyDescent="0.45">
      <c r="A45" s="8"/>
      <c r="B45" s="8"/>
      <c r="C45" s="8" t="s">
        <v>22</v>
      </c>
      <c r="D45" s="18">
        <f t="shared" ref="D45:J45" si="9">+D44+D40</f>
        <v>-30615116.829999998</v>
      </c>
      <c r="E45" s="18">
        <f t="shared" si="9"/>
        <v>-5692798.9299999997</v>
      </c>
      <c r="F45" s="18">
        <f t="shared" si="9"/>
        <v>-3000239.17</v>
      </c>
      <c r="G45" s="18">
        <f t="shared" si="9"/>
        <v>-2217170.09</v>
      </c>
      <c r="H45" s="18">
        <f t="shared" si="9"/>
        <v>0</v>
      </c>
      <c r="I45" s="18">
        <f t="shared" si="9"/>
        <v>0</v>
      </c>
      <c r="J45" s="18">
        <f t="shared" si="9"/>
        <v>-41525325.020000003</v>
      </c>
      <c r="M45" s="18">
        <f>+M44+M40</f>
        <v>-35136681.159999996</v>
      </c>
    </row>
    <row r="46" spans="1:15" ht="18.75" thickTop="1" x14ac:dyDescent="0.4">
      <c r="A46" s="8" t="s">
        <v>51</v>
      </c>
      <c r="B46" s="8"/>
      <c r="C46" s="8"/>
      <c r="D46" s="10"/>
      <c r="E46" s="10"/>
    </row>
    <row r="47" spans="1:15" x14ac:dyDescent="0.4">
      <c r="A47" s="8"/>
      <c r="B47" s="8" t="s">
        <v>68</v>
      </c>
      <c r="C47" s="34"/>
      <c r="D47" s="10">
        <v>-362267781.5</v>
      </c>
      <c r="E47" s="10">
        <v>-4250000</v>
      </c>
      <c r="F47" s="1">
        <v>-10000000</v>
      </c>
      <c r="G47" s="2">
        <v>-42940000</v>
      </c>
      <c r="H47" s="1">
        <v>-8830000</v>
      </c>
      <c r="I47" s="1">
        <v>-912000</v>
      </c>
      <c r="J47" s="1">
        <f t="shared" ref="J47:J58" si="10">+I47+H47+G47+F47+E47+D47</f>
        <v>-429199781.5</v>
      </c>
      <c r="K47" s="52" t="s">
        <v>87</v>
      </c>
      <c r="L47" s="1">
        <v>56419678</v>
      </c>
      <c r="M47" s="1">
        <f>+L47+J47+L48</f>
        <v>-362267781.5</v>
      </c>
    </row>
    <row r="48" spans="1:15" x14ac:dyDescent="0.4">
      <c r="A48" s="8"/>
      <c r="B48" s="8" t="s">
        <v>23</v>
      </c>
      <c r="C48" s="32"/>
      <c r="D48" s="10"/>
      <c r="E48" s="10"/>
      <c r="J48" s="1">
        <f t="shared" si="10"/>
        <v>0</v>
      </c>
      <c r="K48" s="52" t="s">
        <v>111</v>
      </c>
      <c r="L48" s="1">
        <f>425+5001000+4294+4326700+1179903</f>
        <v>10512322</v>
      </c>
    </row>
    <row r="49" spans="1:16" x14ac:dyDescent="0.4">
      <c r="A49" s="8"/>
      <c r="B49" s="8" t="s">
        <v>56</v>
      </c>
      <c r="C49" s="32"/>
      <c r="D49" s="10">
        <f>-28397546.2+67118444.17</f>
        <v>38720897.969999999</v>
      </c>
      <c r="E49" s="10"/>
      <c r="J49" s="1">
        <f t="shared" si="10"/>
        <v>38720897.969999999</v>
      </c>
      <c r="M49" s="1">
        <f t="shared" si="1"/>
        <v>38720897.969999999</v>
      </c>
    </row>
    <row r="50" spans="1:16" x14ac:dyDescent="0.4">
      <c r="A50" s="8"/>
      <c r="B50" s="8" t="s">
        <v>57</v>
      </c>
      <c r="C50" s="32"/>
      <c r="D50" s="10"/>
      <c r="E50" s="10"/>
      <c r="H50" s="1">
        <v>111655.85</v>
      </c>
      <c r="I50" s="1">
        <v>38737.33</v>
      </c>
      <c r="J50" s="1">
        <f t="shared" si="10"/>
        <v>150393.18</v>
      </c>
      <c r="M50" s="1">
        <f t="shared" si="1"/>
        <v>150393.18</v>
      </c>
      <c r="O50" s="4">
        <v>228793.18</v>
      </c>
      <c r="P50" s="4">
        <f>+O50-M50</f>
        <v>78400</v>
      </c>
    </row>
    <row r="51" spans="1:16" x14ac:dyDescent="0.4">
      <c r="A51" s="8"/>
      <c r="B51" s="8" t="s">
        <v>108</v>
      </c>
      <c r="C51" s="32"/>
      <c r="D51" s="40">
        <f>-22681399.34+23463363.08</f>
        <v>781963.73999999836</v>
      </c>
      <c r="E51" s="10"/>
      <c r="J51" s="1">
        <f t="shared" si="10"/>
        <v>781963.73999999836</v>
      </c>
      <c r="K51" s="59" t="s">
        <v>109</v>
      </c>
      <c r="L51" s="58">
        <f>-1250375-21431024.34</f>
        <v>-22681399.34</v>
      </c>
      <c r="M51" s="57">
        <f>+J51+L51+L52+L53</f>
        <v>0</v>
      </c>
    </row>
    <row r="52" spans="1:16" x14ac:dyDescent="0.4">
      <c r="A52" s="8"/>
      <c r="B52" s="8"/>
      <c r="C52" s="32"/>
      <c r="D52" s="10"/>
      <c r="E52" s="10"/>
      <c r="K52" s="64" t="s">
        <v>110</v>
      </c>
      <c r="L52" s="65"/>
    </row>
    <row r="53" spans="1:16" x14ac:dyDescent="0.4">
      <c r="A53" s="8"/>
      <c r="B53" s="8"/>
      <c r="C53" s="32"/>
      <c r="D53" s="10"/>
      <c r="E53" s="10"/>
      <c r="K53" s="60" t="s">
        <v>114</v>
      </c>
      <c r="L53" s="61">
        <v>21899435.600000001</v>
      </c>
    </row>
    <row r="54" spans="1:16" x14ac:dyDescent="0.4">
      <c r="A54" s="8"/>
      <c r="B54" s="8" t="s">
        <v>58</v>
      </c>
      <c r="C54" s="8"/>
      <c r="D54" s="10"/>
      <c r="E54" s="10"/>
      <c r="J54" s="1">
        <f t="shared" si="10"/>
        <v>0</v>
      </c>
      <c r="M54" s="1">
        <f t="shared" si="1"/>
        <v>0</v>
      </c>
    </row>
    <row r="55" spans="1:16" x14ac:dyDescent="0.4">
      <c r="A55" s="8"/>
      <c r="B55" s="8"/>
      <c r="C55" s="8" t="s">
        <v>35</v>
      </c>
      <c r="D55" s="11">
        <v>-2962180.66</v>
      </c>
      <c r="E55" s="11"/>
      <c r="J55" s="1">
        <f t="shared" si="10"/>
        <v>-2962180.66</v>
      </c>
      <c r="M55" s="1">
        <f t="shared" si="1"/>
        <v>-2962180.66</v>
      </c>
    </row>
    <row r="56" spans="1:16" x14ac:dyDescent="0.4">
      <c r="A56" s="8"/>
      <c r="B56" s="8"/>
      <c r="C56" s="8" t="s">
        <v>116</v>
      </c>
      <c r="D56" s="70">
        <f>+D89</f>
        <v>-4023039.7100000009</v>
      </c>
      <c r="E56" s="11">
        <f>+E89</f>
        <v>-9262083.7899999991</v>
      </c>
      <c r="F56" s="11">
        <f>+F89</f>
        <v>1090678.93</v>
      </c>
      <c r="G56" s="11">
        <f>+G89</f>
        <v>1566605.83</v>
      </c>
      <c r="H56" s="11">
        <f>H89</f>
        <v>-40003.350000000006</v>
      </c>
      <c r="I56" s="11">
        <f>+I89</f>
        <v>-271135.14</v>
      </c>
      <c r="J56" s="57">
        <f t="shared" si="10"/>
        <v>-10938977.23</v>
      </c>
      <c r="K56" s="48" t="s">
        <v>124</v>
      </c>
      <c r="L56" s="1">
        <f>+L89</f>
        <v>-525007.16</v>
      </c>
      <c r="M56" s="73">
        <f>+L56+J56</f>
        <v>-11463984.390000001</v>
      </c>
    </row>
    <row r="57" spans="1:16" x14ac:dyDescent="0.4">
      <c r="A57" s="8"/>
      <c r="B57" s="8"/>
      <c r="C57" s="8"/>
      <c r="D57" s="11"/>
      <c r="E57" s="11"/>
      <c r="F57" s="11"/>
      <c r="G57" s="11"/>
      <c r="H57" s="11"/>
      <c r="I57" s="53"/>
      <c r="K57" s="59" t="s">
        <v>114</v>
      </c>
      <c r="L57" s="54">
        <f>-(+E58+F58+G58+H58+I58)</f>
        <v>-29747581.820000004</v>
      </c>
    </row>
    <row r="58" spans="1:16" x14ac:dyDescent="0.4">
      <c r="A58" s="8"/>
      <c r="B58" s="8"/>
      <c r="C58" s="8" t="s">
        <v>115</v>
      </c>
      <c r="D58" s="71">
        <v>-56281432.560000002</v>
      </c>
      <c r="E58" s="21">
        <f>-533031.27</f>
        <v>-533031.27</v>
      </c>
      <c r="F58" s="43">
        <f>11662591.75</f>
        <v>11662591.75</v>
      </c>
      <c r="G58" s="47">
        <f>20184627.17-G56</f>
        <v>18618021.340000004</v>
      </c>
      <c r="H58" s="43">
        <v>0</v>
      </c>
      <c r="I58" s="43">
        <v>0</v>
      </c>
      <c r="J58" s="57">
        <f t="shared" si="10"/>
        <v>-26533850.739999998</v>
      </c>
      <c r="L58" s="27"/>
      <c r="M58" s="72">
        <f>+L58+J58+L57</f>
        <v>-56281432.560000002</v>
      </c>
    </row>
    <row r="59" spans="1:16" x14ac:dyDescent="0.4">
      <c r="A59" s="8"/>
      <c r="B59" s="8"/>
      <c r="C59" s="8" t="s">
        <v>36</v>
      </c>
      <c r="D59" s="10">
        <f>SUM(D47:D58)</f>
        <v>-386031572.71999997</v>
      </c>
      <c r="E59" s="10">
        <f t="shared" ref="E59:J59" si="11">SUM(E47:E58)</f>
        <v>-14045115.059999999</v>
      </c>
      <c r="F59" s="10">
        <f t="shared" si="11"/>
        <v>2753270.6799999997</v>
      </c>
      <c r="G59" s="10">
        <f t="shared" si="11"/>
        <v>-22755372.829999998</v>
      </c>
      <c r="H59" s="10">
        <f t="shared" si="11"/>
        <v>-8758347.5</v>
      </c>
      <c r="I59" s="10">
        <f t="shared" si="11"/>
        <v>-1144397.81</v>
      </c>
      <c r="J59" s="10">
        <f t="shared" si="11"/>
        <v>-429981535.24000001</v>
      </c>
      <c r="M59" s="10">
        <f>SUM(M47:M58)</f>
        <v>-394104087.95999998</v>
      </c>
    </row>
    <row r="60" spans="1:16" x14ac:dyDescent="0.4">
      <c r="A60" s="8"/>
      <c r="B60" s="8" t="s">
        <v>2</v>
      </c>
      <c r="C60" s="8"/>
      <c r="D60" s="16"/>
      <c r="E60" s="16"/>
      <c r="F60" s="16"/>
      <c r="G60" s="16"/>
      <c r="H60" s="16"/>
      <c r="I60" s="16"/>
      <c r="J60" s="16"/>
      <c r="K60" s="52" t="s">
        <v>111</v>
      </c>
      <c r="L60" s="1">
        <f>-L48</f>
        <v>-10512322</v>
      </c>
      <c r="M60" s="1">
        <f>+J60+L60+L61+L65+L64+L63+L62</f>
        <v>472445.15999999968</v>
      </c>
    </row>
    <row r="61" spans="1:16" x14ac:dyDescent="0.4">
      <c r="A61" s="8"/>
      <c r="B61" s="8"/>
      <c r="C61" s="8"/>
      <c r="D61" s="21"/>
      <c r="E61" s="21"/>
      <c r="F61" s="21"/>
      <c r="G61" s="21"/>
      <c r="H61" s="21"/>
      <c r="I61" s="21"/>
      <c r="J61" s="21"/>
      <c r="K61" s="64" t="s">
        <v>117</v>
      </c>
      <c r="L61" s="1">
        <v>7848146.2199999997</v>
      </c>
    </row>
    <row r="62" spans="1:16" x14ac:dyDescent="0.4">
      <c r="A62" s="8"/>
      <c r="B62" s="8"/>
      <c r="C62" s="8"/>
      <c r="D62" s="16"/>
      <c r="E62" s="16"/>
      <c r="F62" s="16"/>
      <c r="G62" s="16"/>
      <c r="H62" s="16"/>
      <c r="I62" s="16"/>
      <c r="J62" s="16"/>
      <c r="K62" s="52" t="str">
        <f>+K43</f>
        <v>5)AJE ประมาณการชาดทุน</v>
      </c>
      <c r="L62" s="1">
        <f>-L43</f>
        <v>-1662591.75</v>
      </c>
    </row>
    <row r="63" spans="1:16" x14ac:dyDescent="0.4">
      <c r="A63" s="8"/>
      <c r="B63" s="8"/>
      <c r="C63" s="8"/>
      <c r="D63" s="16"/>
      <c r="E63" s="16"/>
      <c r="F63" s="16"/>
      <c r="G63" s="16"/>
      <c r="H63" s="16"/>
      <c r="I63" s="16"/>
      <c r="J63" s="16"/>
      <c r="K63" s="48" t="s">
        <v>130</v>
      </c>
      <c r="L63" s="1">
        <f>-L10</f>
        <v>4274821.25</v>
      </c>
    </row>
    <row r="64" spans="1:16" x14ac:dyDescent="0.4">
      <c r="A64" s="8"/>
      <c r="B64" s="8"/>
      <c r="C64" s="8"/>
      <c r="D64" s="16"/>
      <c r="E64" s="16"/>
      <c r="F64" s="16"/>
      <c r="G64" s="16"/>
      <c r="H64" s="16"/>
      <c r="I64" s="16"/>
      <c r="J64" s="16"/>
      <c r="K64" s="64"/>
      <c r="L64" s="1">
        <f>-L18</f>
        <v>-615.72</v>
      </c>
    </row>
    <row r="65" spans="1:15" x14ac:dyDescent="0.4">
      <c r="A65" s="8"/>
      <c r="B65" s="8"/>
      <c r="C65" s="8" t="s">
        <v>24</v>
      </c>
      <c r="D65" s="10">
        <f t="shared" ref="D65:J65" si="12">+D60+D59</f>
        <v>-386031572.71999997</v>
      </c>
      <c r="E65" s="10">
        <f t="shared" si="12"/>
        <v>-14045115.059999999</v>
      </c>
      <c r="F65" s="10">
        <f t="shared" si="12"/>
        <v>2753270.6799999997</v>
      </c>
      <c r="G65" s="10">
        <f t="shared" si="12"/>
        <v>-22755372.829999998</v>
      </c>
      <c r="H65" s="10">
        <f t="shared" si="12"/>
        <v>-8758347.5</v>
      </c>
      <c r="I65" s="10">
        <f t="shared" si="12"/>
        <v>-1144397.81</v>
      </c>
      <c r="J65" s="10">
        <f t="shared" si="12"/>
        <v>-429981535.24000001</v>
      </c>
      <c r="K65" s="55" t="s">
        <v>119</v>
      </c>
      <c r="L65" s="1">
        <f>-L88</f>
        <v>525007.16</v>
      </c>
      <c r="M65" s="10">
        <f>+M60+M59</f>
        <v>-393631642.79999995</v>
      </c>
    </row>
    <row r="66" spans="1:15" ht="18.75" thickBot="1" x14ac:dyDescent="0.45">
      <c r="A66" s="8" t="s">
        <v>38</v>
      </c>
      <c r="B66" s="8"/>
      <c r="C66" s="8"/>
      <c r="D66" s="18">
        <f t="shared" ref="D66:J66" si="13">+D65+D45</f>
        <v>-416646689.54999995</v>
      </c>
      <c r="E66" s="18">
        <f t="shared" si="13"/>
        <v>-19737913.989999998</v>
      </c>
      <c r="F66" s="18">
        <f t="shared" si="13"/>
        <v>-246968.49000000022</v>
      </c>
      <c r="G66" s="18">
        <f t="shared" si="13"/>
        <v>-24972542.919999998</v>
      </c>
      <c r="H66" s="18">
        <f t="shared" si="13"/>
        <v>-8758347.5</v>
      </c>
      <c r="I66" s="18">
        <f t="shared" si="13"/>
        <v>-1144397.81</v>
      </c>
      <c r="J66" s="18">
        <f t="shared" si="13"/>
        <v>-471506860.25999999</v>
      </c>
      <c r="M66" s="18">
        <f>+M65+M45</f>
        <v>-428768323.95999992</v>
      </c>
    </row>
    <row r="67" spans="1:15" ht="18.75" thickTop="1" x14ac:dyDescent="0.4">
      <c r="A67" s="8"/>
      <c r="B67" s="8"/>
      <c r="C67" s="8"/>
      <c r="D67" s="16">
        <f t="shared" ref="D67:J67" si="14">+D66+D29</f>
        <v>0</v>
      </c>
      <c r="E67" s="35">
        <f t="shared" si="14"/>
        <v>0</v>
      </c>
      <c r="F67" s="35">
        <f t="shared" si="14"/>
        <v>-2.3283064365386963E-10</v>
      </c>
      <c r="G67" s="35">
        <f t="shared" si="14"/>
        <v>0</v>
      </c>
      <c r="H67" s="35">
        <f t="shared" si="14"/>
        <v>0</v>
      </c>
      <c r="I67" s="35">
        <f t="shared" si="14"/>
        <v>0</v>
      </c>
      <c r="J67" s="35">
        <f t="shared" si="14"/>
        <v>0</v>
      </c>
      <c r="K67" s="51" t="s">
        <v>79</v>
      </c>
      <c r="L67" s="37">
        <f>SUM(L6:L66)</f>
        <v>0</v>
      </c>
      <c r="M67" s="35">
        <f>+M66+M29</f>
        <v>0</v>
      </c>
    </row>
    <row r="68" spans="1:15" x14ac:dyDescent="0.4">
      <c r="A68" s="8"/>
      <c r="B68" s="8"/>
      <c r="C68" s="9"/>
      <c r="D68" s="9"/>
      <c r="E68" s="9"/>
    </row>
    <row r="69" spans="1:15" ht="18" customHeight="1" x14ac:dyDescent="0.4">
      <c r="A69" s="41" t="s">
        <v>3</v>
      </c>
      <c r="B69" s="41"/>
      <c r="C69" s="41"/>
      <c r="D69" s="41"/>
      <c r="E69" s="41"/>
    </row>
    <row r="70" spans="1:15" x14ac:dyDescent="0.4">
      <c r="A70" s="8" t="s">
        <v>39</v>
      </c>
      <c r="B70" s="8"/>
      <c r="C70" s="8"/>
      <c r="D70" s="10"/>
      <c r="E70" s="10"/>
    </row>
    <row r="71" spans="1:15" x14ac:dyDescent="0.4">
      <c r="A71" s="8"/>
      <c r="B71" s="8" t="s">
        <v>59</v>
      </c>
      <c r="C71" s="8"/>
      <c r="D71" s="16">
        <v>-10893533.35</v>
      </c>
      <c r="E71" s="10">
        <v>-15052500</v>
      </c>
      <c r="F71" s="1">
        <v>0</v>
      </c>
      <c r="G71" s="2">
        <v>0</v>
      </c>
      <c r="H71" s="2">
        <v>0</v>
      </c>
      <c r="I71" s="2">
        <v>-300000</v>
      </c>
      <c r="J71" s="1">
        <f>+I71+H71+G71+F71+E71+D71</f>
        <v>-26246033.350000001</v>
      </c>
      <c r="K71" s="52" t="s">
        <v>86</v>
      </c>
      <c r="L71" s="1">
        <f>223380.11+234143.83+817793.77+265956</f>
        <v>1541273.71</v>
      </c>
      <c r="M71" s="1">
        <f t="shared" si="1"/>
        <v>-24704759.640000001</v>
      </c>
      <c r="O71" s="4">
        <f>24704759.64+M71</f>
        <v>0</v>
      </c>
    </row>
    <row r="72" spans="1:15" x14ac:dyDescent="0.4">
      <c r="A72" s="8"/>
      <c r="B72" s="8" t="s">
        <v>42</v>
      </c>
      <c r="C72" s="8"/>
      <c r="D72" s="10"/>
      <c r="E72" s="10"/>
      <c r="H72" s="2"/>
      <c r="I72" s="2"/>
      <c r="J72" s="1">
        <f>+I72+H72+G72+F72+E72+D72</f>
        <v>0</v>
      </c>
      <c r="M72" s="1">
        <f t="shared" si="1"/>
        <v>0</v>
      </c>
    </row>
    <row r="73" spans="1:15" x14ac:dyDescent="0.4">
      <c r="A73" s="8"/>
      <c r="B73" s="8"/>
      <c r="C73" s="8" t="s">
        <v>13</v>
      </c>
      <c r="D73" s="16">
        <v>-2818284.07</v>
      </c>
      <c r="E73" s="10">
        <v>-105610.43</v>
      </c>
      <c r="F73" s="1">
        <v>0</v>
      </c>
      <c r="G73" s="2">
        <v>0</v>
      </c>
      <c r="H73" s="2">
        <v>-5478.84</v>
      </c>
      <c r="I73" s="2">
        <v>-0.56999999999999995</v>
      </c>
      <c r="J73" s="1">
        <f>+I73+H73+G73+F73+E73+D73</f>
        <v>-2929373.9099999997</v>
      </c>
      <c r="M73" s="1">
        <f t="shared" si="1"/>
        <v>-2929373.9099999997</v>
      </c>
      <c r="O73" s="4">
        <f>2929373.91+M73</f>
        <v>0</v>
      </c>
    </row>
    <row r="74" spans="1:15" x14ac:dyDescent="0.4">
      <c r="A74" s="8"/>
      <c r="B74" s="8"/>
      <c r="C74" s="8" t="s">
        <v>43</v>
      </c>
      <c r="D74" s="10">
        <v>-3426490.45</v>
      </c>
      <c r="E74" s="10">
        <v>0</v>
      </c>
      <c r="F74" s="1">
        <v>0</v>
      </c>
      <c r="G74" s="2">
        <v>0</v>
      </c>
      <c r="H74" s="2">
        <v>-63528.73</v>
      </c>
      <c r="I74" s="2"/>
      <c r="J74" s="1">
        <f>+I74+H74+G74+F74+E74+D74</f>
        <v>-3490019.18</v>
      </c>
      <c r="K74" s="52"/>
      <c r="M74" s="1">
        <f t="shared" si="1"/>
        <v>-3490019.18</v>
      </c>
      <c r="O74" s="4">
        <f>3490019.18+M74</f>
        <v>0</v>
      </c>
    </row>
    <row r="75" spans="1:15" x14ac:dyDescent="0.4">
      <c r="A75" s="8"/>
      <c r="B75" s="8" t="s">
        <v>5</v>
      </c>
      <c r="C75" s="8"/>
      <c r="D75" s="10"/>
      <c r="E75" s="10"/>
      <c r="H75" s="2"/>
      <c r="I75" s="2"/>
      <c r="J75" s="1">
        <f>+I75+H75+G75+F75+E75+D75</f>
        <v>0</v>
      </c>
      <c r="M75" s="1">
        <f t="shared" si="1"/>
        <v>0</v>
      </c>
    </row>
    <row r="76" spans="1:15" x14ac:dyDescent="0.4">
      <c r="A76" s="8"/>
      <c r="B76" s="8"/>
      <c r="C76" s="8" t="s">
        <v>14</v>
      </c>
      <c r="D76" s="15">
        <f t="shared" ref="D76:J76" si="15">SUM(D71:D75)</f>
        <v>-17138307.870000001</v>
      </c>
      <c r="E76" s="15">
        <f t="shared" si="15"/>
        <v>-15158110.43</v>
      </c>
      <c r="F76" s="15">
        <f t="shared" si="15"/>
        <v>0</v>
      </c>
      <c r="G76" s="15">
        <f t="shared" si="15"/>
        <v>0</v>
      </c>
      <c r="H76" s="15">
        <f t="shared" si="15"/>
        <v>-69007.570000000007</v>
      </c>
      <c r="I76" s="15">
        <f t="shared" si="15"/>
        <v>-300000.57</v>
      </c>
      <c r="J76" s="15">
        <f t="shared" si="15"/>
        <v>-32665426.440000001</v>
      </c>
      <c r="M76" s="15">
        <f>SUM(M71:M75)</f>
        <v>-31124152.73</v>
      </c>
      <c r="O76" s="4">
        <f>31124152.73+M76</f>
        <v>0</v>
      </c>
    </row>
    <row r="77" spans="1:15" x14ac:dyDescent="0.4">
      <c r="A77" s="8" t="s">
        <v>40</v>
      </c>
      <c r="B77" s="8"/>
      <c r="C77" s="8"/>
      <c r="D77" s="10"/>
      <c r="E77" s="10"/>
      <c r="H77" s="2"/>
      <c r="I77" s="2"/>
      <c r="J77" s="2"/>
      <c r="M77" s="1">
        <f t="shared" si="1"/>
        <v>0</v>
      </c>
    </row>
    <row r="78" spans="1:15" x14ac:dyDescent="0.4">
      <c r="A78" s="8"/>
      <c r="B78" s="8" t="s">
        <v>7</v>
      </c>
      <c r="C78" s="8"/>
      <c r="D78" s="10">
        <v>5248379.3499999996</v>
      </c>
      <c r="E78" s="10">
        <f>502060-121000</f>
        <v>381060</v>
      </c>
      <c r="F78" s="2">
        <v>469104.17</v>
      </c>
      <c r="G78" s="2">
        <v>1252134.3799999999</v>
      </c>
      <c r="H78" s="2">
        <v>0</v>
      </c>
      <c r="I78" s="2"/>
      <c r="J78" s="1">
        <f>+I78+H78+G78+F78+E78+D78</f>
        <v>7350677.8999999994</v>
      </c>
      <c r="L78" s="1">
        <v>-602250</v>
      </c>
      <c r="M78" s="1">
        <f t="shared" si="1"/>
        <v>6748427.8999999994</v>
      </c>
      <c r="O78" s="4">
        <f>6748427.9-M78</f>
        <v>0</v>
      </c>
    </row>
    <row r="79" spans="1:15" x14ac:dyDescent="0.4">
      <c r="A79" s="8"/>
      <c r="B79" s="8" t="s">
        <v>25</v>
      </c>
      <c r="C79" s="8"/>
      <c r="D79" s="10">
        <v>7439667.2199999997</v>
      </c>
      <c r="E79" s="10">
        <f>923937.16-E78+1002625</f>
        <v>1545502.1600000001</v>
      </c>
      <c r="F79" s="2">
        <f>1090678.93-F78</f>
        <v>621574.76</v>
      </c>
      <c r="G79" s="2">
        <f>1566605.83-G78</f>
        <v>314471.45000000019</v>
      </c>
      <c r="H79" s="2">
        <v>29004.22</v>
      </c>
      <c r="I79" s="2">
        <v>28865.43</v>
      </c>
      <c r="J79" s="1">
        <f>+I79+H79+G79+F79+E79+D79</f>
        <v>9979085.2400000002</v>
      </c>
      <c r="K79" s="52" t="s">
        <v>86</v>
      </c>
      <c r="L79" s="1">
        <f>-(223380.11+234143.83+817793.77)-(265956)+602250</f>
        <v>-939023.71</v>
      </c>
      <c r="M79" s="1">
        <f t="shared" ref="M79:M92" si="16">+L79+J79</f>
        <v>9040061.5300000012</v>
      </c>
      <c r="O79" s="4">
        <f>8037436.53-M79</f>
        <v>-1002625.0000000009</v>
      </c>
    </row>
    <row r="80" spans="1:15" x14ac:dyDescent="0.4">
      <c r="A80" s="8"/>
      <c r="B80" s="8" t="s">
        <v>60</v>
      </c>
      <c r="C80" s="8"/>
      <c r="D80" s="10"/>
      <c r="E80" s="10"/>
      <c r="F80" s="2"/>
      <c r="H80" s="2">
        <v>0</v>
      </c>
      <c r="I80" s="2"/>
      <c r="J80" s="1">
        <f>+I80+H80+G80+F80+E80+D80</f>
        <v>0</v>
      </c>
      <c r="M80" s="1">
        <f t="shared" si="16"/>
        <v>0</v>
      </c>
    </row>
    <row r="81" spans="1:15" x14ac:dyDescent="0.4">
      <c r="A81" s="8"/>
      <c r="B81" s="8" t="s">
        <v>61</v>
      </c>
      <c r="C81" s="8"/>
      <c r="D81" s="10">
        <v>338000</v>
      </c>
      <c r="E81" s="10">
        <v>0</v>
      </c>
      <c r="F81" s="2"/>
      <c r="H81" s="2">
        <v>0</v>
      </c>
      <c r="I81" s="2"/>
      <c r="J81" s="1">
        <f>+I81+H81+G81+F81+E81+D81</f>
        <v>338000</v>
      </c>
      <c r="M81" s="1">
        <f t="shared" si="16"/>
        <v>338000</v>
      </c>
      <c r="O81" s="68"/>
    </row>
    <row r="82" spans="1:15" x14ac:dyDescent="0.4">
      <c r="A82" s="8"/>
      <c r="B82" s="8"/>
      <c r="C82" s="8" t="s">
        <v>6</v>
      </c>
      <c r="D82" s="15">
        <f t="shared" ref="D82:J82" si="17">SUM(D78:D81)</f>
        <v>13026046.57</v>
      </c>
      <c r="E82" s="15">
        <f t="shared" si="17"/>
        <v>1926562.1600000001</v>
      </c>
      <c r="F82" s="15">
        <f t="shared" si="17"/>
        <v>1090678.93</v>
      </c>
      <c r="G82" s="15">
        <f t="shared" si="17"/>
        <v>1566605.83</v>
      </c>
      <c r="H82" s="15">
        <f t="shared" si="17"/>
        <v>29004.22</v>
      </c>
      <c r="I82" s="15">
        <f t="shared" si="17"/>
        <v>28865.43</v>
      </c>
      <c r="J82" s="15">
        <f t="shared" si="17"/>
        <v>17667763.140000001</v>
      </c>
      <c r="M82" s="66">
        <f>SUM(M78:M81)</f>
        <v>16126489.43</v>
      </c>
    </row>
    <row r="83" spans="1:15" x14ac:dyDescent="0.4">
      <c r="A83" s="8"/>
      <c r="B83" s="8"/>
      <c r="C83" s="8" t="s">
        <v>129</v>
      </c>
      <c r="D83" s="10"/>
      <c r="E83" s="74">
        <f>4270251.98-3969464.48</f>
        <v>300787.50000000047</v>
      </c>
      <c r="F83" s="10"/>
      <c r="G83" s="10"/>
      <c r="H83" s="10"/>
      <c r="I83" s="10"/>
      <c r="J83" s="10"/>
      <c r="M83" s="1">
        <f t="shared" si="16"/>
        <v>0</v>
      </c>
    </row>
    <row r="84" spans="1:15" x14ac:dyDescent="0.4">
      <c r="A84" s="8" t="s">
        <v>15</v>
      </c>
      <c r="B84" s="8"/>
      <c r="C84" s="8"/>
      <c r="D84" s="10">
        <f t="shared" ref="D84:J84" si="18">+D76+D82</f>
        <v>-4112261.3000000007</v>
      </c>
      <c r="E84" s="10">
        <f t="shared" si="18"/>
        <v>-13231548.27</v>
      </c>
      <c r="F84" s="10">
        <f t="shared" si="18"/>
        <v>1090678.93</v>
      </c>
      <c r="G84" s="10">
        <f t="shared" si="18"/>
        <v>1566605.83</v>
      </c>
      <c r="H84" s="10">
        <f t="shared" si="18"/>
        <v>-40003.350000000006</v>
      </c>
      <c r="I84" s="10">
        <f t="shared" si="18"/>
        <v>-271135.14</v>
      </c>
      <c r="J84" s="10">
        <f t="shared" si="18"/>
        <v>-14997663.300000001</v>
      </c>
      <c r="M84" s="1">
        <f t="shared" si="16"/>
        <v>-14997663.300000001</v>
      </c>
    </row>
    <row r="85" spans="1:15" x14ac:dyDescent="0.4">
      <c r="A85" s="8" t="s">
        <v>41</v>
      </c>
      <c r="B85" s="8"/>
      <c r="C85" s="8"/>
      <c r="D85" s="10">
        <v>0</v>
      </c>
      <c r="E85" s="10">
        <v>0</v>
      </c>
      <c r="F85" s="10">
        <v>0</v>
      </c>
      <c r="G85" s="10">
        <v>0</v>
      </c>
      <c r="H85" s="10">
        <v>0</v>
      </c>
      <c r="I85" s="10">
        <v>0</v>
      </c>
      <c r="J85" s="1">
        <f>+I85+H85+G85+F85+E85+D85</f>
        <v>0</v>
      </c>
      <c r="M85" s="1">
        <f t="shared" si="16"/>
        <v>0</v>
      </c>
    </row>
    <row r="86" spans="1:15" x14ac:dyDescent="0.4">
      <c r="A86" s="8" t="s">
        <v>16</v>
      </c>
      <c r="B86" s="8"/>
      <c r="C86" s="8"/>
      <c r="D86" s="21">
        <v>89221.59</v>
      </c>
      <c r="E86" s="29">
        <f>4270251.98-300787.5</f>
        <v>3969464.4800000004</v>
      </c>
      <c r="F86" s="29">
        <v>0</v>
      </c>
      <c r="G86" s="29">
        <v>0</v>
      </c>
      <c r="H86" s="29">
        <v>0</v>
      </c>
      <c r="I86" s="29">
        <v>0</v>
      </c>
      <c r="J86" s="43">
        <f>+I86+H86+G86+F86+E86+D86</f>
        <v>4058686.0700000003</v>
      </c>
      <c r="M86" s="43">
        <f t="shared" si="16"/>
        <v>4058686.0700000003</v>
      </c>
    </row>
    <row r="87" spans="1:15" x14ac:dyDescent="0.4">
      <c r="A87" s="8" t="s">
        <v>29</v>
      </c>
      <c r="B87" s="8"/>
      <c r="C87" s="8"/>
      <c r="D87" s="9">
        <f>SUM(D84:D86)</f>
        <v>-4023039.7100000009</v>
      </c>
      <c r="E87" s="9">
        <f t="shared" ref="E87:J87" si="19">SUM(E84:E86)</f>
        <v>-9262083.7899999991</v>
      </c>
      <c r="F87" s="9">
        <f t="shared" si="19"/>
        <v>1090678.93</v>
      </c>
      <c r="G87" s="9">
        <f t="shared" si="19"/>
        <v>1566605.83</v>
      </c>
      <c r="H87" s="9">
        <f t="shared" si="19"/>
        <v>-40003.350000000006</v>
      </c>
      <c r="I87" s="9">
        <f t="shared" si="19"/>
        <v>-271135.14</v>
      </c>
      <c r="J87" s="9">
        <f t="shared" si="19"/>
        <v>-10938977.23</v>
      </c>
      <c r="M87" s="1">
        <f>SUM(M84:M86)</f>
        <v>-10938977.23</v>
      </c>
    </row>
    <row r="88" spans="1:15" x14ac:dyDescent="0.4">
      <c r="A88" s="8" t="s">
        <v>37</v>
      </c>
      <c r="B88" s="8"/>
      <c r="C88" s="8"/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52" t="s">
        <v>123</v>
      </c>
      <c r="L88" s="1">
        <v>-525007.16</v>
      </c>
      <c r="M88" s="43">
        <f t="shared" si="16"/>
        <v>-525007.16</v>
      </c>
    </row>
    <row r="89" spans="1:15" ht="18.75" thickBot="1" x14ac:dyDescent="0.45">
      <c r="A89" s="8" t="s">
        <v>30</v>
      </c>
      <c r="B89" s="8"/>
      <c r="C89" s="8"/>
      <c r="D89" s="18">
        <f t="shared" ref="D89:J89" si="20">SUM(D87:D88)</f>
        <v>-4023039.7100000009</v>
      </c>
      <c r="E89" s="18">
        <f t="shared" si="20"/>
        <v>-9262083.7899999991</v>
      </c>
      <c r="F89" s="18">
        <f t="shared" si="20"/>
        <v>1090678.93</v>
      </c>
      <c r="G89" s="18">
        <f t="shared" si="20"/>
        <v>1566605.83</v>
      </c>
      <c r="H89" s="18">
        <f t="shared" si="20"/>
        <v>-40003.350000000006</v>
      </c>
      <c r="I89" s="18">
        <f t="shared" si="20"/>
        <v>-271135.14</v>
      </c>
      <c r="J89" s="18">
        <f t="shared" si="20"/>
        <v>-10938977.23</v>
      </c>
      <c r="L89" s="1">
        <f>+SUM(L71:L88)</f>
        <v>-525007.16</v>
      </c>
      <c r="M89" s="67">
        <f>SUM(M87:M88)</f>
        <v>-11463984.390000001</v>
      </c>
    </row>
    <row r="90" spans="1:15" ht="9.9499999999999993" customHeight="1" thickTop="1" x14ac:dyDescent="0.4">
      <c r="A90" s="8"/>
      <c r="B90" s="8"/>
      <c r="C90" s="8"/>
      <c r="D90" s="16"/>
      <c r="E90" s="16"/>
      <c r="F90" s="2"/>
      <c r="G90" s="16"/>
      <c r="H90" s="16"/>
      <c r="I90" s="2"/>
      <c r="J90" s="2"/>
      <c r="M90" s="1">
        <f t="shared" si="16"/>
        <v>0</v>
      </c>
    </row>
    <row r="91" spans="1:15" x14ac:dyDescent="0.4">
      <c r="M91" s="1">
        <f t="shared" si="16"/>
        <v>0</v>
      </c>
    </row>
    <row r="92" spans="1:15" x14ac:dyDescent="0.4">
      <c r="M92" s="1">
        <f t="shared" si="16"/>
        <v>0</v>
      </c>
    </row>
  </sheetData>
  <mergeCells count="1">
    <mergeCell ref="K3:L3"/>
  </mergeCells>
  <phoneticPr fontId="0" type="noConversion"/>
  <printOptions gridLines="1"/>
  <pageMargins left="0.32" right="0.17" top="0.32" bottom="0.26" header="0.17" footer="0.16"/>
  <pageSetup paperSize="9" scale="77" orientation="landscape" r:id="rId1"/>
  <headerFooter alignWithMargins="0"/>
  <rowBreaks count="2" manualBreakCount="2">
    <brk id="29" max="12" man="1"/>
    <brk id="67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BS_Q1-68</vt:lpstr>
      <vt:lpstr>Changed-Conso</vt:lpstr>
      <vt:lpstr>Changed-Com</vt:lpstr>
      <vt:lpstr>PL_Q1-68</vt:lpstr>
      <vt:lpstr>CashFlow</vt:lpstr>
      <vt:lpstr>Equity</vt:lpstr>
      <vt:lpstr>Conso_Q150</vt:lpstr>
      <vt:lpstr>CashFlow!OLE_LINK3</vt:lpstr>
      <vt:lpstr>'BS_Q1-68'!Print_Area</vt:lpstr>
      <vt:lpstr>CashFlow!Print_Area</vt:lpstr>
      <vt:lpstr>'Changed-Com'!Print_Area</vt:lpstr>
      <vt:lpstr>'Changed-Conso'!Print_Area</vt:lpstr>
      <vt:lpstr>Conso_Q150!Print_Area</vt:lpstr>
      <vt:lpstr>Equity!Print_Area</vt:lpstr>
      <vt:lpstr>'PL_Q1-68'!Print_Area</vt:lpstr>
      <vt:lpstr>CashFlow!Print_Titles</vt:lpstr>
      <vt:lpstr>Conso_Q150!Print_Titles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 Sirichaiya</cp:lastModifiedBy>
  <cp:lastPrinted>2025-05-15T10:23:39Z</cp:lastPrinted>
  <dcterms:created xsi:type="dcterms:W3CDTF">2003-04-30T06:44:25Z</dcterms:created>
  <dcterms:modified xsi:type="dcterms:W3CDTF">2025-05-15T11:07:02Z</dcterms:modified>
</cp:coreProperties>
</file>