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5\Q2-2025\"/>
    </mc:Choice>
  </mc:AlternateContent>
  <xr:revisionPtr revIDLastSave="0" documentId="13_ncr:1_{A22047CF-739F-40E3-9F7A-47B3D8101C88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BS_Q2-68" sheetId="59" r:id="rId1"/>
    <sheet name="Changed-Conso" sheetId="60" r:id="rId2"/>
    <sheet name="Changed-Com" sheetId="61" r:id="rId3"/>
    <sheet name="PL_Q2-68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 localSheetId="0">'[1]01043002'!$A$1:$P$1224</definedName>
    <definedName name="a">'[1]01043002'!$A$1:$P$1224</definedName>
    <definedName name="_xlnm.Database">#REF!</definedName>
    <definedName name="OLE_LINK3" localSheetId="4">CashFlow!$A$161</definedName>
    <definedName name="_xlnm.Print_Area" localSheetId="0">'BS_Q2-68'!$A$1:$L$150</definedName>
    <definedName name="_xlnm.Print_Area" localSheetId="4">CashFlow!$A$1:$M$114</definedName>
    <definedName name="_xlnm.Print_Area" localSheetId="2">'Changed-Com'!$A$1:$X$40</definedName>
    <definedName name="_xlnm.Print_Area" localSheetId="1">'Changed-Conso'!$A$1:$AA$39</definedName>
    <definedName name="_xlnm.Print_Area" localSheetId="6">Conso_Q150!$A$1:$M$92</definedName>
    <definedName name="_xlnm.Print_Area" localSheetId="5">Equity!$A$1:$G$42</definedName>
    <definedName name="_xlnm.Print_Area" localSheetId="3">'PL_Q2-68'!$A$1:$L$219</definedName>
    <definedName name="_xlnm.Print_Titles" localSheetId="4">CashFlow!$1:$9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6" i="47" l="1"/>
  <c r="G69" i="47"/>
  <c r="X29" i="60"/>
  <c r="P29" i="60"/>
  <c r="K69" i="47"/>
  <c r="L81" i="59"/>
  <c r="F81" i="59"/>
  <c r="H81" i="59"/>
  <c r="J81" i="59"/>
  <c r="K79" i="47"/>
  <c r="G79" i="47"/>
  <c r="H84" i="58" l="1"/>
  <c r="T28" i="60" l="1"/>
  <c r="V28" i="60"/>
  <c r="Z28" i="60" s="1"/>
  <c r="X26" i="61"/>
  <c r="X16" i="61"/>
  <c r="V17" i="60"/>
  <c r="Z17" i="60" s="1"/>
  <c r="L193" i="58" l="1"/>
  <c r="J193" i="58"/>
  <c r="H193" i="58"/>
  <c r="F193" i="58"/>
  <c r="L187" i="58"/>
  <c r="J187" i="58"/>
  <c r="H187" i="58"/>
  <c r="F187" i="58"/>
  <c r="H174" i="58"/>
  <c r="F174" i="58"/>
  <c r="F173" i="58"/>
  <c r="A170" i="58"/>
  <c r="A168" i="58"/>
  <c r="L138" i="58"/>
  <c r="J138" i="58"/>
  <c r="H138" i="58"/>
  <c r="F138" i="58"/>
  <c r="L128" i="58"/>
  <c r="J128" i="58"/>
  <c r="H128" i="58"/>
  <c r="F128" i="58"/>
  <c r="L117" i="58"/>
  <c r="L174" i="58" s="1"/>
  <c r="J117" i="58"/>
  <c r="J174" i="58" s="1"/>
  <c r="J116" i="58"/>
  <c r="J173" i="58" s="1"/>
  <c r="J140" i="58" l="1"/>
  <c r="J144" i="58" s="1"/>
  <c r="J146" i="58" s="1"/>
  <c r="F140" i="58"/>
  <c r="F144" i="58" s="1"/>
  <c r="F146" i="58" s="1"/>
  <c r="L140" i="58"/>
  <c r="L144" i="58" s="1"/>
  <c r="L146" i="58" s="1"/>
  <c r="H140" i="58"/>
  <c r="H144" i="58" s="1"/>
  <c r="H146" i="58" s="1"/>
  <c r="F149" i="58" l="1"/>
  <c r="N29" i="60" s="1"/>
  <c r="G11" i="47"/>
  <c r="J149" i="58"/>
  <c r="T27" i="61" s="1"/>
  <c r="K11" i="47"/>
  <c r="H176" i="58"/>
  <c r="H189" i="58" s="1"/>
  <c r="H192" i="58" s="1"/>
  <c r="H194" i="58" s="1"/>
  <c r="I11" i="47"/>
  <c r="L176" i="58"/>
  <c r="L189" i="58" s="1"/>
  <c r="L192" i="58" s="1"/>
  <c r="L194" i="58" s="1"/>
  <c r="M11" i="47"/>
  <c r="J176" i="58"/>
  <c r="J189" i="58" s="1"/>
  <c r="J192" i="58" s="1"/>
  <c r="J194" i="58" s="1"/>
  <c r="F176" i="58"/>
  <c r="F189" i="58" s="1"/>
  <c r="F192" i="58" s="1"/>
  <c r="F194" i="58" s="1"/>
  <c r="L149" i="58"/>
  <c r="L158" i="58" s="1"/>
  <c r="H149" i="58"/>
  <c r="H151" i="58" s="1"/>
  <c r="J151" i="58" l="1"/>
  <c r="F151" i="58"/>
  <c r="F154" i="58"/>
  <c r="F158" i="58"/>
  <c r="J154" i="58"/>
  <c r="J158" i="58"/>
  <c r="L151" i="58"/>
  <c r="L154" i="58"/>
  <c r="H154" i="58"/>
  <c r="H158" i="58"/>
  <c r="V31" i="61" l="1"/>
  <c r="I69" i="47" l="1"/>
  <c r="K76" i="47"/>
  <c r="X31" i="61"/>
  <c r="K115" i="47" l="1"/>
  <c r="G115" i="47"/>
  <c r="X34" i="60" l="1"/>
  <c r="F125" i="59" s="1"/>
  <c r="R33" i="61"/>
  <c r="J121" i="59" s="1"/>
  <c r="P33" i="61"/>
  <c r="N33" i="61"/>
  <c r="L33" i="61"/>
  <c r="J33" i="61"/>
  <c r="H33" i="61"/>
  <c r="J119" i="59" s="1"/>
  <c r="F33" i="61"/>
  <c r="D33" i="61"/>
  <c r="J118" i="59" s="1"/>
  <c r="V29" i="61"/>
  <c r="X29" i="61" s="1"/>
  <c r="X23" i="61"/>
  <c r="R21" i="61"/>
  <c r="P21" i="61"/>
  <c r="N21" i="61"/>
  <c r="L21" i="61"/>
  <c r="J21" i="61"/>
  <c r="H21" i="61"/>
  <c r="F21" i="61"/>
  <c r="D21" i="61"/>
  <c r="V19" i="61"/>
  <c r="V17" i="61" s="1"/>
  <c r="T21" i="61"/>
  <c r="X13" i="61"/>
  <c r="A4" i="61"/>
  <c r="A3" i="61"/>
  <c r="L34" i="60"/>
  <c r="J34" i="60"/>
  <c r="H34" i="60"/>
  <c r="F119" i="59" s="1"/>
  <c r="F34" i="60"/>
  <c r="D34" i="60"/>
  <c r="F118" i="59" s="1"/>
  <c r="R31" i="60"/>
  <c r="R34" i="60" s="1"/>
  <c r="T25" i="60"/>
  <c r="X23" i="60"/>
  <c r="L23" i="60"/>
  <c r="J23" i="60"/>
  <c r="H23" i="60"/>
  <c r="F23" i="60"/>
  <c r="D23" i="60"/>
  <c r="R20" i="60"/>
  <c r="P23" i="60"/>
  <c r="T18" i="60"/>
  <c r="V18" i="60" s="1"/>
  <c r="T14" i="60"/>
  <c r="V14" i="60" s="1"/>
  <c r="Z14" i="60" s="1"/>
  <c r="T127" i="59"/>
  <c r="P127" i="59"/>
  <c r="L124" i="59"/>
  <c r="L126" i="59" s="1"/>
  <c r="H124" i="59"/>
  <c r="H126" i="59" s="1"/>
  <c r="L76" i="59"/>
  <c r="J76" i="59"/>
  <c r="H76" i="59"/>
  <c r="F76" i="59"/>
  <c r="H58" i="59"/>
  <c r="H110" i="59" s="1"/>
  <c r="F58" i="59"/>
  <c r="F110" i="59" s="1"/>
  <c r="A55" i="59"/>
  <c r="A107" i="59" s="1"/>
  <c r="L43" i="59"/>
  <c r="J43" i="59"/>
  <c r="H43" i="59"/>
  <c r="F43" i="59"/>
  <c r="L27" i="59"/>
  <c r="J27" i="59"/>
  <c r="H27" i="59"/>
  <c r="F27" i="59"/>
  <c r="L8" i="59"/>
  <c r="L58" i="59" s="1"/>
  <c r="L110" i="59" s="1"/>
  <c r="J8" i="59"/>
  <c r="J58" i="59" s="1"/>
  <c r="J110" i="59" s="1"/>
  <c r="F121" i="59" l="1"/>
  <c r="AD34" i="60" s="1"/>
  <c r="P34" i="60"/>
  <c r="T29" i="60"/>
  <c r="V25" i="60"/>
  <c r="Z25" i="60" s="1"/>
  <c r="AB25" i="60" s="1"/>
  <c r="J82" i="59"/>
  <c r="F82" i="59"/>
  <c r="J44" i="59"/>
  <c r="L82" i="59"/>
  <c r="L127" i="59" s="1"/>
  <c r="F44" i="59"/>
  <c r="H82" i="59"/>
  <c r="H127" i="59" s="1"/>
  <c r="T20" i="60"/>
  <c r="T23" i="60" s="1"/>
  <c r="X17" i="61"/>
  <c r="X21" i="61" s="1"/>
  <c r="V21" i="61"/>
  <c r="T31" i="60"/>
  <c r="V33" i="61"/>
  <c r="Z18" i="60"/>
  <c r="R23" i="60"/>
  <c r="N20" i="60"/>
  <c r="N23" i="60" s="1"/>
  <c r="N31" i="60"/>
  <c r="X19" i="61"/>
  <c r="L44" i="59"/>
  <c r="H44" i="59"/>
  <c r="L151" i="59" l="1"/>
  <c r="T34" i="60"/>
  <c r="F123" i="59" s="1"/>
  <c r="V31" i="60"/>
  <c r="V20" i="60"/>
  <c r="Z20" i="60" s="1"/>
  <c r="Z23" i="60" s="1"/>
  <c r="H151" i="59"/>
  <c r="V23" i="60" l="1"/>
  <c r="Z31" i="60"/>
  <c r="K8" i="47" l="1"/>
  <c r="J7" i="58" l="1"/>
  <c r="J65" i="58" s="1"/>
  <c r="M76" i="47" l="1"/>
  <c r="M69" i="47"/>
  <c r="I76" i="47"/>
  <c r="M9" i="47"/>
  <c r="L29" i="58" l="1"/>
  <c r="L18" i="58"/>
  <c r="L8" i="58"/>
  <c r="H29" i="58"/>
  <c r="H18" i="58"/>
  <c r="H31" i="58" l="1"/>
  <c r="H35" i="58" s="1"/>
  <c r="L31" i="58"/>
  <c r="L35" i="58" s="1"/>
  <c r="A87" i="58"/>
  <c r="A161" i="58" s="1"/>
  <c r="A196" i="58" s="1"/>
  <c r="L37" i="58" l="1"/>
  <c r="H37" i="58"/>
  <c r="H40" i="58" s="1"/>
  <c r="J29" i="58"/>
  <c r="F29" i="58"/>
  <c r="H49" i="58" l="1"/>
  <c r="I27" i="47"/>
  <c r="I44" i="47" s="1"/>
  <c r="I48" i="47" s="1"/>
  <c r="I78" i="47" s="1"/>
  <c r="I80" i="47" s="1"/>
  <c r="L40" i="58"/>
  <c r="L45" i="58" s="1"/>
  <c r="M27" i="47"/>
  <c r="M44" i="47" s="1"/>
  <c r="M48" i="47" s="1"/>
  <c r="M78" i="47" s="1"/>
  <c r="M80" i="47" s="1"/>
  <c r="L42" i="58" l="1"/>
  <c r="L49" i="58"/>
  <c r="H45" i="58"/>
  <c r="H42" i="58"/>
  <c r="K9" i="47" l="1"/>
  <c r="J8" i="58"/>
  <c r="J66" i="58" s="1"/>
  <c r="F18" i="58"/>
  <c r="F31" i="58" s="1"/>
  <c r="F35" i="58" s="1"/>
  <c r="L66" i="58"/>
  <c r="H66" i="58"/>
  <c r="F66" i="58"/>
  <c r="L78" i="58"/>
  <c r="J78" i="58"/>
  <c r="H78" i="58"/>
  <c r="F78" i="58"/>
  <c r="F65" i="58"/>
  <c r="J18" i="58"/>
  <c r="J31" i="58" s="1"/>
  <c r="J35" i="58" s="1"/>
  <c r="F84" i="58"/>
  <c r="A59" i="58"/>
  <c r="A61" i="58"/>
  <c r="J84" i="58"/>
  <c r="L84" i="58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G19" i="56"/>
  <c r="G29" i="56" s="1"/>
  <c r="L60" i="56"/>
  <c r="M21" i="56"/>
  <c r="M7" i="56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M44" i="56" l="1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M78" i="56"/>
  <c r="G58" i="56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F37" i="58" l="1"/>
  <c r="F68" i="58" l="1"/>
  <c r="F80" i="58" s="1"/>
  <c r="F83" i="58" s="1"/>
  <c r="F85" i="58" s="1"/>
  <c r="F40" i="58"/>
  <c r="G27" i="47"/>
  <c r="G44" i="47" s="1"/>
  <c r="G48" i="47" s="1"/>
  <c r="G78" i="47" l="1"/>
  <c r="G80" i="47" s="1"/>
  <c r="G116" i="47" s="1"/>
  <c r="F45" i="58"/>
  <c r="V29" i="60"/>
  <c r="F49" i="58"/>
  <c r="F42" i="58"/>
  <c r="N34" i="60" l="1"/>
  <c r="F122" i="59" s="1"/>
  <c r="AC34" i="60" l="1"/>
  <c r="F124" i="59"/>
  <c r="F126" i="59" s="1"/>
  <c r="Z29" i="60"/>
  <c r="Z34" i="60" s="1"/>
  <c r="V34" i="60"/>
  <c r="AB34" i="60" l="1"/>
  <c r="F127" i="59"/>
  <c r="F151" i="59" l="1"/>
  <c r="N127" i="59"/>
  <c r="H68" i="58"/>
  <c r="H80" i="58" s="1"/>
  <c r="H83" i="58" s="1"/>
  <c r="H85" i="58" s="1"/>
  <c r="I116" i="47"/>
  <c r="J37" i="58" l="1"/>
  <c r="J68" i="58" s="1"/>
  <c r="J80" i="58" s="1"/>
  <c r="J83" i="58" s="1"/>
  <c r="J85" i="58" s="1"/>
  <c r="K27" i="47" l="1"/>
  <c r="K44" i="47" s="1"/>
  <c r="K48" i="47" s="1"/>
  <c r="K78" i="47" s="1"/>
  <c r="K80" i="47" s="1"/>
  <c r="K116" i="47" s="1"/>
  <c r="J40" i="58"/>
  <c r="T33" i="61" l="1"/>
  <c r="J122" i="59" s="1"/>
  <c r="J124" i="59" s="1"/>
  <c r="J126" i="59" s="1"/>
  <c r="J127" i="59" s="1"/>
  <c r="X27" i="61"/>
  <c r="X33" i="61" s="1"/>
  <c r="J49" i="58"/>
  <c r="J45" i="58"/>
  <c r="J42" i="58"/>
  <c r="J151" i="59" l="1"/>
  <c r="R127" i="59"/>
  <c r="L68" i="58" l="1"/>
  <c r="L80" i="58" s="1"/>
  <c r="L83" i="58" s="1"/>
  <c r="L85" i="58" s="1"/>
  <c r="M116" i="4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<sst xmlns="http://schemas.openxmlformats.org/spreadsheetml/2006/main" count="610" uniqueCount="388">
  <si>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</si>
  <si>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</si>
  <si>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</si>
  <si>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</si>
  <si>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</si>
  <si>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</si>
  <si>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</si>
  <si>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</si>
  <si>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</si>
  <si>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</si>
  <si>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</si>
  <si>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</si>
  <si>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</si>
  <si>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</si>
  <si>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</si>
  <si>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</si>
  <si>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</si>
  <si>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</si>
  <si>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</si>
  <si>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</si>
  <si>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</si>
  <si>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</si>
  <si>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</si>
  <si>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</si>
  <si>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</si>
  <si>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</si>
  <si>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</si>
  <si>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</si>
  <si>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</si>
  <si>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</si>
  <si>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</si>
  <si>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</si>
  <si>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</si>
  <si>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</si>
  <si>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</si>
  <si>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</si>
  <si>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</si>
  <si>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</si>
  <si>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</si>
  <si>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</si>
  <si>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</si>
  <si>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</si>
  <si>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</si>
  <si>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</si>
  <si>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</si>
  <si>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</si>
  <si>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</si>
  <si>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</si>
  <si>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</si>
  <si>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</si>
  <si>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</si>
  <si>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</si>
  <si>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</si>
  <si>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</si>
  <si>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</si>
  <si>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</si>
  <si>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</si>
  <si>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</si>
  <si>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</si>
  <si>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</si>
  <si>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</si>
  <si>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</si>
  <si>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</si>
  <si>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</si>
  <si>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</si>
  <si>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</si>
  <si>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</si>
  <si>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</si>
  <si>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</si>
  <si>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</si>
  <si>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</si>
  <si>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</si>
  <si>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</si>
  <si>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</si>
  <si>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</si>
  <si>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</si>
  <si>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</si>
  <si>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</si>
  <si>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</si>
  <si>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</si>
  <si>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</si>
  <si>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</si>
  <si>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</si>
  <si>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</si>
  <si>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</si>
  <si>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</si>
  <si>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</si>
  <si>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</si>
  <si>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</si>
  <si>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</si>
  <si>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</si>
  <si>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</si>
  <si>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</si>
  <si>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</si>
  <si>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</si>
  <si>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</si>
  <si>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</si>
  <si>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</si>
  <si>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</si>
  <si>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</si>
  <si>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</si>
  <si>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</si>
  <si>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</si>
  <si>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</si>
  <si>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</si>
  <si>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</si>
  <si>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</si>
  <si>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</si>
  <si>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</si>
  <si>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</si>
  <si>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</si>
  <si>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</si>
  <si>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</si>
  <si>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</si>
  <si>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</si>
  <si>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</si>
  <si>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</si>
  <si>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</si>
  <si>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</si>
  <si>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</si>
  <si>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</si>
  <si>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</si>
  <si>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</si>
  <si>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</si>
  <si>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</si>
  <si>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</si>
  <si>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</si>
  <si>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</si>
  <si>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</si>
  <si>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</si>
  <si>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</si>
  <si>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</si>
  <si>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</si>
  <si>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</si>
  <si>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</si>
  <si>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</si>
  <si>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</si>
  <si>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</si>
  <si>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</si>
  <si>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</si>
  <si>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</si>
  <si>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</si>
  <si>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</si>
  <si>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</si>
  <si>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</si>
  <si>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</si>
  <si>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</si>
  <si>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</si>
  <si>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</si>
  <si>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</si>
  <si>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</si>
  <si>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</si>
  <si>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</si>
  <si>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</si>
  <si>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</si>
  <si>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</si>
  <si>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</si>
  <si>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</si>
  <si>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</si>
  <si>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</si>
  <si>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</si>
  <si>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</si>
  <si>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</si>
  <si>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</si>
  <si>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</si>
  <si>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</si>
  <si>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</si>
  <si>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</si>
  <si>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</si>
  <si>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</si>
  <si>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</si>
  <si>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</si>
  <si>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</si>
  <si>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</si>
  <si>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</si>
  <si>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</si>
  <si>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</si>
  <si>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</si>
  <si>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</si>
  <si>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</si>
  <si>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</si>
  <si>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</si>
  <si>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</si>
  <si>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</si>
  <si>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</si>
  <si>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</si>
  <si>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</si>
  <si>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</si>
  <si>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</si>
  <si>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</si>
  <si>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</si>
  <si>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</si>
  <si>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</si>
  <si>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</si>
  <si>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</si>
  <si>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</si>
  <si>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</si>
  <si>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</si>
  <si>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</si>
  <si>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</si>
  <si>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</si>
  <si>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</si>
  <si>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</si>
  <si>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</si>
  <si>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</si>
  <si>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</si>
  <si>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</si>
  <si>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</si>
  <si>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</si>
  <si>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</si>
  <si>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</si>
  <si>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</si>
  <si>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</si>
  <si>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</si>
  <si>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เงินสดคงเหลือสิ้นงวด =</t>
  </si>
  <si>
    <t>TEST  ต้อง = 0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</si>
  <si>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</si>
  <si>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</si>
  <si>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</si>
  <si>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</si>
  <si>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</si>
  <si>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</si>
  <si>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</si>
  <si>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</si>
  <si>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</si>
  <si>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</si>
  <si>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</si>
  <si>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</si>
  <si>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</si>
  <si>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</si>
  <si>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</si>
  <si>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</si>
  <si>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</si>
  <si>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</si>
  <si>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</si>
  <si>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</si>
  <si>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</si>
  <si>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</si>
  <si>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</si>
  <si>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</si>
  <si>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</si>
  <si>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</si>
  <si>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</si>
  <si>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</si>
  <si>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</si>
  <si>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</si>
  <si>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</si>
  <si>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</si>
  <si>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</si>
  <si>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</si>
  <si>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</si>
  <si>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</si>
  <si>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</si>
  <si>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</si>
  <si>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</si>
  <si>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</si>
  <si>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</si>
  <si>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</si>
  <si>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</si>
  <si>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</si>
  <si>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</si>
  <si>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</si>
  <si>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</si>
  <si>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</si>
  <si>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</si>
  <si>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</si>
  <si>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</si>
  <si>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</si>
  <si>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</si>
  <si>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</si>
  <si>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</si>
  <si>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</si>
  <si>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</si>
  <si>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</si>
  <si>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</si>
  <si>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</si>
  <si>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</si>
  <si>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</si>
  <si>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</si>
  <si>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</si>
  <si>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</si>
  <si>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</si>
  <si>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</si>
  <si>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</si>
  <si>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</si>
  <si>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</si>
  <si>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</si>
  <si>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</si>
  <si>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</si>
  <si>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</si>
  <si>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</si>
  <si>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</si>
  <si>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</si>
  <si>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Gain (loss) from</t>
  </si>
  <si>
    <t xml:space="preserve">estimate of </t>
  </si>
  <si>
    <t>actuarial</t>
  </si>
  <si>
    <t>assumptions</t>
  </si>
  <si>
    <t>OPERATING AND INVESTMENT  ACTIVITIES NOT AFFECTING CASH</t>
  </si>
  <si>
    <t>Other current financial assets</t>
  </si>
  <si>
    <t>Other non-current financial assets</t>
  </si>
  <si>
    <t>Other accounts payables</t>
  </si>
  <si>
    <t>Non-current provision for employee benefit</t>
  </si>
  <si>
    <t>Gain on sales from measurement of other current financial assets</t>
  </si>
  <si>
    <t>Unrealized loss from measurement of other current financial assets</t>
  </si>
  <si>
    <t>Purchase of property and equipments</t>
  </si>
  <si>
    <t>Related  parties</t>
  </si>
  <si>
    <t>Loss on reduced value of inventory</t>
  </si>
  <si>
    <t>Other accounts payable - related parties</t>
  </si>
  <si>
    <t>Profit (loss) before financial costs and income tax</t>
  </si>
  <si>
    <t>Loss on reduced value of inventory (reversal)</t>
  </si>
  <si>
    <t>Total comprehensive income (loss) for the period</t>
  </si>
  <si>
    <t>Profit (loss) for the period</t>
  </si>
  <si>
    <t>(Unaudited / but reviewed)</t>
  </si>
  <si>
    <t>CASH AND CASH EQUIVALENTS, BEGINNING OF PERIOD</t>
  </si>
  <si>
    <t>CASH AND CASH EQUIVALENTS, END OF PERIOD</t>
  </si>
  <si>
    <t>Other comprehensive income (loss) for the period, net of tax</t>
  </si>
  <si>
    <t xml:space="preserve">Income from digital assets inventory </t>
  </si>
  <si>
    <t>Gain on exchange rate</t>
  </si>
  <si>
    <t>Share of profit (loss) from investments in associate</t>
  </si>
  <si>
    <t>Beginning balance as at January 1, 2024</t>
  </si>
  <si>
    <t>13,14,16</t>
  </si>
  <si>
    <t>Share  loss from investments in associate</t>
  </si>
  <si>
    <t>Trade accounts payable - related parties</t>
  </si>
  <si>
    <t>Other non-current financial assets, (increase) decrease</t>
  </si>
  <si>
    <t>Short-term loan from financial institution, increase (decrease)</t>
  </si>
  <si>
    <t>Loan from related company, increase (decrease)</t>
  </si>
  <si>
    <t>Cash paid for lease liabilities</t>
  </si>
  <si>
    <t>Property and equipment - net</t>
  </si>
  <si>
    <t xml:space="preserve">Gain from exchange digital assets inventory </t>
  </si>
  <si>
    <t xml:space="preserve">Loss from exchange digital assets inventory </t>
  </si>
  <si>
    <t>Dividend income</t>
  </si>
  <si>
    <t>Dividend received from other company</t>
  </si>
  <si>
    <t>Dividend paid by the Company</t>
  </si>
  <si>
    <t>6</t>
  </si>
  <si>
    <t>Inventory</t>
  </si>
  <si>
    <t xml:space="preserve">   Cash paid to employee benefits</t>
  </si>
  <si>
    <t>Net cash from operation</t>
  </si>
  <si>
    <t>Cash from subsidiary's liquidation (increase) decrease</t>
  </si>
  <si>
    <t>Ordinary shares increased - exercise of warrants</t>
  </si>
  <si>
    <t>Investments in associate , (increase) decrease</t>
  </si>
  <si>
    <t>Digital asset inventory Increase (decrease)</t>
  </si>
  <si>
    <t>Intangible assets  Increase (decrease)</t>
  </si>
  <si>
    <t>December 31, 2024</t>
  </si>
  <si>
    <t>Prepaid corporate income tax</t>
  </si>
  <si>
    <t>Investments in associate and Joint ventures</t>
  </si>
  <si>
    <t>Land held for development</t>
  </si>
  <si>
    <t>Right of used assets</t>
  </si>
  <si>
    <t>Intangible assets - NFTs</t>
  </si>
  <si>
    <t>Intangible assets - Digital Assets</t>
  </si>
  <si>
    <t>Current portion - Liabilities under financial lease contract</t>
  </si>
  <si>
    <t>Beginning balance as at January 1, 2025</t>
  </si>
  <si>
    <t>Cost of sales :</t>
  </si>
  <si>
    <t>Income from sales of digital assets</t>
  </si>
  <si>
    <t xml:space="preserve">   - Cost of sale from digital assets</t>
  </si>
  <si>
    <t xml:space="preserve">   - Reversal for reduced value of inventory</t>
  </si>
  <si>
    <t>Unrealized (gain) loss from measurement of other current financial assets</t>
  </si>
  <si>
    <t>17</t>
  </si>
  <si>
    <t>(Unaudited/</t>
  </si>
  <si>
    <t>but Reviewed)</t>
  </si>
  <si>
    <t>(Audited)</t>
  </si>
  <si>
    <t>The accompanying interim notes to financial statements are an integral part of these interim financial statements.</t>
  </si>
  <si>
    <t>- Ordinary share 13,262,835,895  shares</t>
  </si>
  <si>
    <t>- Ordinary share 10,800,820,471  shares</t>
  </si>
  <si>
    <t xml:space="preserve">   Total comprehensive income (loss) for the period</t>
  </si>
  <si>
    <t>5 , 7</t>
  </si>
  <si>
    <t>Allowance for doubtful account (reversal)</t>
  </si>
  <si>
    <t xml:space="preserve">7 </t>
  </si>
  <si>
    <t>STATEMENTS OF INCOME</t>
  </si>
  <si>
    <t>STATEMENTS  OF  INCOME</t>
  </si>
  <si>
    <t>FOR  THE SIX-MONTH PERIOD ENDED JUNE 30, 2024</t>
  </si>
  <si>
    <t>For the six-month period ended June 30</t>
  </si>
  <si>
    <t>Loss on sales from measurement of other current financial assets</t>
  </si>
  <si>
    <t>FOR  THE THREE-MONTH PERIOD ENDED JUNE 30, 2025</t>
  </si>
  <si>
    <t>For the three-month period ended June 30</t>
  </si>
  <si>
    <t>FOR  THE SIX-MONTH PERIOD ENDED JUNE 30, 2025</t>
  </si>
  <si>
    <t>AS AT JUNE 30, 2025</t>
  </si>
  <si>
    <t>June  30, 2025</t>
  </si>
  <si>
    <t>FOR THE SIX -MONTH PERIOD ENDED JUNE 30, 2025</t>
  </si>
  <si>
    <t>Ending balance as at June 30, 2024</t>
  </si>
  <si>
    <t>Ending balance as at June 30, 2025</t>
  </si>
  <si>
    <t xml:space="preserve">  Cash Dividend paid</t>
  </si>
  <si>
    <t xml:space="preserve">   Cash dividend paid</t>
  </si>
  <si>
    <t xml:space="preserve">Loss (Gain) from digital assets inventory </t>
  </si>
  <si>
    <t>Allowance for impairment of intangible assets</t>
  </si>
  <si>
    <t>Liabilities under financial lease contract</t>
  </si>
  <si>
    <t>Ending balance as at  June 30, 2024</t>
  </si>
  <si>
    <t>Ending balance as at  June 30, 2025</t>
  </si>
  <si>
    <t>Income tax revenue (expense)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</si>
</sst>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_(* #,##0.000_);_(* \(#,##0.000\);_(* &quot;-&quot;??_);_(@_)"/>
    <numFmt numFmtId="176" formatCode="&quot;$&quot;#,##0.00"/>
  </numFmts>
  <fonts count="33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  <font>
      <sz val="7"/>
      <name val="Times New Roman"/>
      <family val="1"/>
    </font>
    <font>
      <b/>
      <sz val="12"/>
      <name val="Angsana New"/>
      <family val="1"/>
    </font>
    <font>
      <sz val="12"/>
      <name val="Times New Roman"/>
      <family val="1"/>
    </font>
    <font>
      <b/>
      <sz val="13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0" fontId="12" fillId="0" borderId="0"/>
    <xf numFmtId="0" fontId="1" fillId="0" borderId="0"/>
  </cellStyleXfs>
  <cellXfs count="315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43" fontId="2" fillId="0" borderId="0" xfId="1" applyFont="1" applyFill="1" applyBorder="1"/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43" fontId="3" fillId="0" borderId="0" xfId="1" applyFont="1" applyFill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43" fontId="7" fillId="0" borderId="0" xfId="1" applyFont="1" applyFill="1"/>
    <xf numFmtId="43" fontId="7" fillId="0" borderId="0" xfId="1" applyFont="1" applyFill="1" applyBorder="1"/>
    <xf numFmtId="43" fontId="18" fillId="0" borderId="0" xfId="1" applyFont="1" applyFill="1" applyBorder="1"/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166" fontId="3" fillId="0" borderId="13" xfId="1" applyNumberFormat="1" applyFont="1" applyFill="1" applyBorder="1" applyAlignment="1">
      <alignment horizontal="center"/>
    </xf>
    <xf numFmtId="0" fontId="18" fillId="0" borderId="0" xfId="1" applyNumberFormat="1" applyFont="1" applyFill="1" applyBorder="1" applyAlignment="1">
      <alignment horizontal="left"/>
    </xf>
    <xf numFmtId="43" fontId="3" fillId="0" borderId="5" xfId="1" applyFont="1" applyFill="1" applyBorder="1"/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6" fillId="0" borderId="0" xfId="1" applyFont="1" applyFill="1" applyBorder="1" applyAlignment="1">
      <alignment horizontal="center"/>
    </xf>
    <xf numFmtId="43" fontId="3" fillId="0" borderId="14" xfId="1" applyFont="1" applyFill="1" applyBorder="1"/>
    <xf numFmtId="43" fontId="3" fillId="0" borderId="5" xfId="1" applyFont="1" applyFill="1" applyBorder="1" applyAlignment="1">
      <alignment horizontal="right"/>
    </xf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165" fontId="3" fillId="0" borderId="15" xfId="1" applyNumberFormat="1" applyFont="1" applyFill="1" applyBorder="1"/>
    <xf numFmtId="175" fontId="3" fillId="0" borderId="14" xfId="1" applyNumberFormat="1" applyFont="1" applyFill="1" applyBorder="1"/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3" fillId="0" borderId="0" xfId="13" applyNumberFormat="1" applyFont="1" applyFill="1" applyBorder="1"/>
    <xf numFmtId="166" fontId="3" fillId="0" borderId="0" xfId="13" applyNumberFormat="1" applyFont="1" applyFill="1" applyBorder="1" applyAlignment="1">
      <alignment horizontal="right" vertical="center" wrapText="1"/>
    </xf>
    <xf numFmtId="49" fontId="3" fillId="0" borderId="0" xfId="13" applyNumberFormat="1" applyFont="1" applyFill="1" applyBorder="1" applyAlignment="1">
      <alignment horizontal="center"/>
    </xf>
    <xf numFmtId="43" fontId="3" fillId="0" borderId="0" xfId="13" applyFont="1" applyFill="1" applyAlignment="1">
      <alignment horizontal="right"/>
    </xf>
    <xf numFmtId="43" fontId="3" fillId="0" borderId="0" xfId="13" applyFont="1" applyFill="1" applyBorder="1"/>
    <xf numFmtId="43" fontId="3" fillId="0" borderId="0" xfId="13" applyFont="1" applyFill="1"/>
    <xf numFmtId="43" fontId="3" fillId="0" borderId="0" xfId="13" applyFont="1" applyFill="1" applyBorder="1" applyAlignment="1">
      <alignment horizontal="right"/>
    </xf>
    <xf numFmtId="43" fontId="17" fillId="0" borderId="0" xfId="13" applyFont="1" applyFill="1" applyBorder="1"/>
    <xf numFmtId="43" fontId="3" fillId="0" borderId="0" xfId="13" applyFont="1" applyFill="1" applyBorder="1" applyAlignment="1">
      <alignment horizontal="center"/>
    </xf>
    <xf numFmtId="166" fontId="3" fillId="0" borderId="0" xfId="13" applyNumberFormat="1" applyFont="1" applyFill="1" applyBorder="1" applyAlignment="1">
      <alignment horizontal="center"/>
    </xf>
    <xf numFmtId="0" fontId="3" fillId="0" borderId="0" xfId="13" applyNumberFormat="1" applyFont="1" applyFill="1" applyBorder="1" applyAlignment="1">
      <alignment horizontal="center"/>
    </xf>
    <xf numFmtId="175" fontId="3" fillId="0" borderId="0" xfId="13" applyNumberFormat="1" applyFont="1" applyFill="1" applyBorder="1"/>
    <xf numFmtId="165" fontId="3" fillId="0" borderId="0" xfId="13" applyNumberFormat="1" applyFont="1" applyFill="1" applyBorder="1"/>
    <xf numFmtId="0" fontId="3" fillId="0" borderId="0" xfId="13" quotePrefix="1" applyNumberFormat="1" applyFont="1" applyFill="1" applyBorder="1" applyAlignment="1">
      <alignment horizontal="center"/>
    </xf>
    <xf numFmtId="166" fontId="3" fillId="0" borderId="0" xfId="13" quotePrefix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174" fontId="17" fillId="0" borderId="0" xfId="13" applyNumberFormat="1" applyFont="1" applyFill="1" applyBorder="1"/>
    <xf numFmtId="43" fontId="17" fillId="0" borderId="0" xfId="1" applyFont="1" applyFill="1" applyBorder="1"/>
    <xf numFmtId="43" fontId="17" fillId="0" borderId="0" xfId="1" applyFont="1" applyFill="1"/>
    <xf numFmtId="174" fontId="17" fillId="0" borderId="0" xfId="1" applyNumberFormat="1" applyFont="1" applyFill="1" applyBorder="1"/>
    <xf numFmtId="43" fontId="3" fillId="0" borderId="0" xfId="13" applyFont="1" applyFill="1" applyBorder="1" applyAlignment="1">
      <alignment vertical="center"/>
    </xf>
    <xf numFmtId="43" fontId="3" fillId="0" borderId="0" xfId="13" applyFont="1" applyFill="1" applyAlignment="1">
      <alignment vertical="center"/>
    </xf>
    <xf numFmtId="43" fontId="16" fillId="0" borderId="0" xfId="1" applyFont="1" applyFill="1" applyBorder="1"/>
    <xf numFmtId="43" fontId="16" fillId="0" borderId="0" xfId="1" applyFont="1" applyFill="1"/>
    <xf numFmtId="174" fontId="16" fillId="0" borderId="0" xfId="1" applyNumberFormat="1" applyFont="1" applyFill="1" applyBorder="1"/>
    <xf numFmtId="176" fontId="18" fillId="0" borderId="0" xfId="1" applyNumberFormat="1" applyFont="1" applyFill="1" applyBorder="1"/>
    <xf numFmtId="43" fontId="3" fillId="0" borderId="0" xfId="1" applyFont="1" applyFill="1" applyAlignment="1">
      <alignment vertical="center"/>
    </xf>
    <xf numFmtId="43" fontId="17" fillId="0" borderId="0" xfId="13" applyFont="1" applyFill="1" applyAlignment="1">
      <alignment vertical="center"/>
    </xf>
    <xf numFmtId="43" fontId="3" fillId="0" borderId="0" xfId="13" applyFont="1" applyFill="1" applyAlignment="1">
      <alignment horizontal="right" vertical="center"/>
    </xf>
    <xf numFmtId="0" fontId="2" fillId="0" borderId="0" xfId="12" applyFont="1"/>
    <xf numFmtId="0" fontId="2" fillId="0" borderId="0" xfId="12" applyFont="1" applyAlignment="1">
      <alignment horizontal="center"/>
    </xf>
    <xf numFmtId="0" fontId="3" fillId="0" borderId="0" xfId="12" applyFont="1" applyAlignment="1">
      <alignment horizontal="center"/>
    </xf>
    <xf numFmtId="0" fontId="3" fillId="0" borderId="0" xfId="12" applyFont="1"/>
    <xf numFmtId="0" fontId="15" fillId="0" borderId="0" xfId="12" applyFont="1"/>
    <xf numFmtId="0" fontId="2" fillId="0" borderId="5" xfId="12" applyFont="1" applyBorder="1" applyAlignment="1">
      <alignment horizontal="center"/>
    </xf>
    <xf numFmtId="0" fontId="2" fillId="0" borderId="3" xfId="12" quotePrefix="1" applyFont="1" applyBorder="1" applyAlignment="1">
      <alignment horizontal="center"/>
    </xf>
    <xf numFmtId="0" fontId="2" fillId="0" borderId="0" xfId="12" quotePrefix="1" applyFont="1" applyAlignment="1">
      <alignment horizontal="center"/>
    </xf>
    <xf numFmtId="0" fontId="2" fillId="0" borderId="3" xfId="12" applyFont="1" applyBorder="1" applyAlignment="1">
      <alignment horizontal="center"/>
    </xf>
    <xf numFmtId="166" fontId="3" fillId="0" borderId="0" xfId="12" applyNumberFormat="1" applyFont="1" applyAlignment="1">
      <alignment horizontal="center"/>
    </xf>
    <xf numFmtId="43" fontId="3" fillId="0" borderId="0" xfId="12" applyNumberFormat="1" applyFont="1"/>
    <xf numFmtId="43" fontId="3" fillId="0" borderId="0" xfId="12" applyNumberFormat="1" applyFont="1" applyAlignment="1">
      <alignment horizontal="right"/>
    </xf>
    <xf numFmtId="38" fontId="3" fillId="0" borderId="0" xfId="12" applyNumberFormat="1" applyFont="1"/>
    <xf numFmtId="43" fontId="3" fillId="0" borderId="0" xfId="0" applyNumberFormat="1" applyFont="1" applyAlignment="1">
      <alignment horizontal="right" vertical="center"/>
    </xf>
    <xf numFmtId="43" fontId="3" fillId="0" borderId="0" xfId="12" applyNumberFormat="1" applyFont="1" applyAlignment="1">
      <alignment horizontal="center"/>
    </xf>
    <xf numFmtId="167" fontId="3" fillId="0" borderId="0" xfId="12" applyNumberFormat="1" applyFont="1"/>
    <xf numFmtId="0" fontId="3" fillId="0" borderId="0" xfId="12" applyFont="1" applyAlignment="1">
      <alignment horizontal="left"/>
    </xf>
    <xf numFmtId="166" fontId="3" fillId="0" borderId="0" xfId="12" applyNumberFormat="1" applyFont="1" applyAlignment="1">
      <alignment horizontal="left"/>
    </xf>
    <xf numFmtId="0" fontId="6" fillId="0" borderId="0" xfId="12" applyFont="1" applyAlignment="1">
      <alignment horizontal="center"/>
    </xf>
    <xf numFmtId="166" fontId="3" fillId="0" borderId="0" xfId="12" applyNumberFormat="1" applyFont="1" applyAlignment="1">
      <alignment horizontal="right"/>
    </xf>
    <xf numFmtId="166" fontId="3" fillId="0" borderId="0" xfId="12" applyNumberFormat="1" applyFont="1"/>
    <xf numFmtId="43" fontId="2" fillId="0" borderId="0" xfId="12" applyNumberFormat="1" applyFont="1"/>
    <xf numFmtId="167" fontId="17" fillId="0" borderId="0" xfId="12" applyNumberFormat="1" applyFont="1"/>
    <xf numFmtId="0" fontId="3" fillId="0" borderId="0" xfId="12" quotePrefix="1" applyFont="1"/>
    <xf numFmtId="43" fontId="3" fillId="0" borderId="14" xfId="12" applyNumberFormat="1" applyFont="1" applyBorder="1" applyAlignment="1">
      <alignment horizontal="right"/>
    </xf>
    <xf numFmtId="0" fontId="4" fillId="0" borderId="0" xfId="12" quotePrefix="1" applyFont="1"/>
    <xf numFmtId="168" fontId="3" fillId="0" borderId="0" xfId="12" applyNumberFormat="1" applyFont="1" applyAlignment="1">
      <alignment horizontal="center"/>
    </xf>
    <xf numFmtId="43" fontId="3" fillId="0" borderId="5" xfId="12" applyNumberFormat="1" applyFont="1" applyBorder="1" applyAlignment="1">
      <alignment horizontal="right"/>
    </xf>
    <xf numFmtId="166" fontId="2" fillId="0" borderId="0" xfId="12" applyNumberFormat="1" applyFont="1"/>
    <xf numFmtId="43" fontId="2" fillId="0" borderId="0" xfId="12" applyNumberFormat="1" applyFont="1" applyAlignment="1">
      <alignment horizontal="center"/>
    </xf>
    <xf numFmtId="0" fontId="26" fillId="0" borderId="0" xfId="12" applyFont="1" applyAlignment="1">
      <alignment horizontal="center"/>
    </xf>
    <xf numFmtId="166" fontId="17" fillId="0" borderId="0" xfId="12" applyNumberFormat="1" applyFont="1" applyAlignment="1">
      <alignment horizontal="center"/>
    </xf>
    <xf numFmtId="166" fontId="3" fillId="0" borderId="13" xfId="12" applyNumberFormat="1" applyFont="1" applyBorder="1" applyAlignment="1">
      <alignment horizontal="left"/>
    </xf>
    <xf numFmtId="166" fontId="3" fillId="0" borderId="13" xfId="12" applyNumberFormat="1" applyFont="1" applyBorder="1" applyAlignment="1">
      <alignment horizontal="center"/>
    </xf>
    <xf numFmtId="0" fontId="3" fillId="0" borderId="5" xfId="12" applyFont="1" applyBorder="1" applyAlignment="1">
      <alignment horizontal="center"/>
    </xf>
    <xf numFmtId="166" fontId="3" fillId="0" borderId="5" xfId="12" applyNumberFormat="1" applyFont="1" applyBorder="1" applyAlignment="1">
      <alignment horizontal="center"/>
    </xf>
    <xf numFmtId="0" fontId="23" fillId="0" borderId="0" xfId="12" applyFont="1"/>
    <xf numFmtId="0" fontId="18" fillId="0" borderId="0" xfId="12" applyFont="1"/>
    <xf numFmtId="166" fontId="22" fillId="0" borderId="0" xfId="12" applyNumberFormat="1" applyFont="1" applyAlignment="1">
      <alignment horizontal="center"/>
    </xf>
    <xf numFmtId="166" fontId="18" fillId="0" borderId="0" xfId="12" applyNumberFormat="1" applyFont="1" applyAlignment="1">
      <alignment horizontal="center"/>
    </xf>
    <xf numFmtId="166" fontId="25" fillId="0" borderId="0" xfId="12" applyNumberFormat="1" applyFont="1" applyAlignment="1">
      <alignment horizontal="center"/>
    </xf>
    <xf numFmtId="0" fontId="18" fillId="0" borderId="0" xfId="12" applyFont="1" applyAlignment="1">
      <alignment horizontal="center"/>
    </xf>
    <xf numFmtId="0" fontId="25" fillId="0" borderId="5" xfId="12" applyFont="1" applyBorder="1" applyAlignment="1">
      <alignment horizontal="center"/>
    </xf>
    <xf numFmtId="166" fontId="18" fillId="0" borderId="5" xfId="12" applyNumberFormat="1" applyFont="1" applyBorder="1" applyAlignment="1">
      <alignment horizontal="center"/>
    </xf>
    <xf numFmtId="0" fontId="18" fillId="0" borderId="5" xfId="12" applyFont="1" applyBorder="1" applyAlignment="1">
      <alignment horizontal="center"/>
    </xf>
    <xf numFmtId="166" fontId="16" fillId="0" borderId="13" xfId="12" applyNumberFormat="1" applyFont="1" applyBorder="1" applyAlignment="1">
      <alignment horizontal="center"/>
    </xf>
    <xf numFmtId="166" fontId="16" fillId="0" borderId="0" xfId="12" applyNumberFormat="1" applyFont="1" applyAlignment="1">
      <alignment horizontal="center"/>
    </xf>
    <xf numFmtId="166" fontId="18" fillId="0" borderId="0" xfId="12" applyNumberFormat="1" applyFont="1"/>
    <xf numFmtId="0" fontId="25" fillId="0" borderId="0" xfId="12" applyFont="1"/>
    <xf numFmtId="43" fontId="18" fillId="0" borderId="0" xfId="12" applyNumberFormat="1" applyFont="1"/>
    <xf numFmtId="0" fontId="25" fillId="0" borderId="0" xfId="12" applyFont="1" applyAlignment="1">
      <alignment horizontal="center"/>
    </xf>
    <xf numFmtId="167" fontId="18" fillId="0" borderId="0" xfId="12" applyNumberFormat="1" applyFont="1"/>
    <xf numFmtId="167" fontId="22" fillId="0" borderId="0" xfId="12" applyNumberFormat="1" applyFont="1"/>
    <xf numFmtId="0" fontId="18" fillId="0" borderId="0" xfId="12" applyFont="1" applyAlignment="1">
      <alignment horizontal="left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38" fontId="3" fillId="0" borderId="0" xfId="0" applyNumberFormat="1" applyFont="1"/>
    <xf numFmtId="43" fontId="3" fillId="0" borderId="0" xfId="0" applyNumberFormat="1" applyFont="1" applyAlignment="1">
      <alignment horizontal="right"/>
    </xf>
    <xf numFmtId="43" fontId="3" fillId="0" borderId="0" xfId="0" applyNumberFormat="1" applyFont="1"/>
    <xf numFmtId="43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horizontal="center"/>
    </xf>
    <xf numFmtId="167" fontId="3" fillId="0" borderId="0" xfId="0" applyNumberFormat="1" applyFont="1"/>
    <xf numFmtId="168" fontId="3" fillId="0" borderId="0" xfId="0" applyNumberFormat="1" applyFont="1" applyAlignment="1">
      <alignment horizontal="center"/>
    </xf>
    <xf numFmtId="38" fontId="3" fillId="0" borderId="0" xfId="14" applyNumberFormat="1" applyFont="1" applyAlignment="1">
      <alignment vertical="center"/>
    </xf>
    <xf numFmtId="43" fontId="3" fillId="0" borderId="5" xfId="0" applyNumberFormat="1" applyFont="1" applyBorder="1" applyAlignment="1">
      <alignment horizontal="right"/>
    </xf>
    <xf numFmtId="166" fontId="3" fillId="0" borderId="0" xfId="0" applyNumberFormat="1" applyFont="1"/>
    <xf numFmtId="0" fontId="17" fillId="0" borderId="0" xfId="0" applyFont="1" applyAlignment="1">
      <alignment horizontal="center"/>
    </xf>
    <xf numFmtId="43" fontId="17" fillId="0" borderId="0" xfId="0" applyNumberFormat="1" applyFont="1"/>
    <xf numFmtId="167" fontId="17" fillId="0" borderId="0" xfId="0" applyNumberFormat="1" applyFont="1"/>
    <xf numFmtId="43" fontId="3" fillId="0" borderId="4" xfId="0" applyNumberFormat="1" applyFont="1" applyBorder="1" applyAlignment="1">
      <alignment horizontal="right"/>
    </xf>
    <xf numFmtId="166" fontId="17" fillId="0" borderId="0" xfId="0" applyNumberFormat="1" applyFont="1"/>
    <xf numFmtId="166" fontId="30" fillId="0" borderId="0" xfId="0" applyNumberFormat="1" applyFont="1"/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75" fontId="3" fillId="0" borderId="0" xfId="0" applyNumberFormat="1" applyFont="1" applyAlignment="1">
      <alignment horizontal="right"/>
    </xf>
    <xf numFmtId="175" fontId="3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2" fillId="0" borderId="0" xfId="0" applyNumberFormat="1" applyFont="1"/>
    <xf numFmtId="0" fontId="3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0" fontId="28" fillId="0" borderId="0" xfId="0" applyFont="1"/>
    <xf numFmtId="166" fontId="25" fillId="0" borderId="0" xfId="0" applyNumberFormat="1" applyFont="1"/>
    <xf numFmtId="166" fontId="32" fillId="0" borderId="0" xfId="0" applyNumberFormat="1" applyFont="1"/>
    <xf numFmtId="166" fontId="17" fillId="0" borderId="0" xfId="0" applyNumberFormat="1" applyFont="1" applyAlignment="1">
      <alignment horizontal="right"/>
    </xf>
    <xf numFmtId="0" fontId="7" fillId="0" borderId="0" xfId="0" applyFont="1"/>
    <xf numFmtId="0" fontId="16" fillId="0" borderId="0" xfId="0" applyFont="1" applyAlignment="1">
      <alignment horizontal="center"/>
    </xf>
    <xf numFmtId="43" fontId="16" fillId="0" borderId="0" xfId="0" applyNumberFormat="1" applyFont="1"/>
    <xf numFmtId="167" fontId="16" fillId="0" borderId="0" xfId="0" applyNumberFormat="1" applyFont="1"/>
    <xf numFmtId="166" fontId="16" fillId="0" borderId="0" xfId="0" applyNumberFormat="1" applyFont="1"/>
    <xf numFmtId="167" fontId="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3" fillId="0" borderId="5" xfId="0" applyNumberFormat="1" applyFont="1" applyBorder="1"/>
    <xf numFmtId="0" fontId="3" fillId="0" borderId="5" xfId="0" applyFont="1" applyBorder="1" applyAlignment="1">
      <alignment horizontal="center"/>
    </xf>
    <xf numFmtId="167" fontId="7" fillId="0" borderId="0" xfId="0" applyNumberFormat="1" applyFont="1"/>
    <xf numFmtId="166" fontId="7" fillId="0" borderId="0" xfId="0" applyNumberFormat="1" applyFont="1"/>
    <xf numFmtId="167" fontId="22" fillId="0" borderId="0" xfId="0" applyNumberFormat="1" applyFont="1"/>
    <xf numFmtId="0" fontId="7" fillId="0" borderId="0" xfId="0" applyFont="1" applyAlignment="1">
      <alignment horizontal="center"/>
    </xf>
    <xf numFmtId="166" fontId="27" fillId="0" borderId="0" xfId="0" applyNumberFormat="1" applyFont="1"/>
    <xf numFmtId="43" fontId="3" fillId="0" borderId="5" xfId="0" applyNumberFormat="1" applyFont="1" applyBorder="1"/>
    <xf numFmtId="166" fontId="3" fillId="0" borderId="0" xfId="9" applyNumberFormat="1" applyFont="1"/>
    <xf numFmtId="39" fontId="17" fillId="0" borderId="0" xfId="0" applyNumberFormat="1" applyFont="1"/>
    <xf numFmtId="4" fontId="3" fillId="0" borderId="0" xfId="0" applyNumberFormat="1" applyFont="1"/>
    <xf numFmtId="0" fontId="17" fillId="0" borderId="0" xfId="0" applyFont="1"/>
    <xf numFmtId="166" fontId="3" fillId="0" borderId="0" xfId="1" applyNumberFormat="1" applyFont="1" applyFill="1" applyAlignment="1">
      <alignment horizontal="center"/>
    </xf>
    <xf numFmtId="166" fontId="2" fillId="0" borderId="5" xfId="12" applyNumberFormat="1" applyFont="1" applyBorder="1" applyAlignment="1">
      <alignment horizontal="center"/>
    </xf>
    <xf numFmtId="166" fontId="15" fillId="0" borderId="3" xfId="12" applyNumberFormat="1" applyFont="1" applyBorder="1" applyAlignment="1">
      <alignment horizontal="center"/>
    </xf>
    <xf numFmtId="0" fontId="29" fillId="0" borderId="0" xfId="12" applyFont="1" applyAlignment="1">
      <alignment horizontal="center"/>
    </xf>
    <xf numFmtId="0" fontId="5" fillId="0" borderId="0" xfId="12" applyFont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17" fillId="0" borderId="0" xfId="15" applyNumberFormat="1" applyFont="1" applyAlignment="1">
      <alignment horizontal="right"/>
    </xf>
    <xf numFmtId="166" fontId="3" fillId="0" borderId="0" xfId="12" applyNumberFormat="1" applyFont="1" applyAlignment="1">
      <alignment horizontal="center"/>
    </xf>
    <xf numFmtId="43" fontId="3" fillId="0" borderId="5" xfId="1" applyFont="1" applyFill="1" applyBorder="1" applyAlignment="1">
      <alignment horizontal="center"/>
    </xf>
    <xf numFmtId="167" fontId="29" fillId="0" borderId="0" xfId="12" applyNumberFormat="1" applyFont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12" applyNumberFormat="1" applyFont="1" applyAlignment="1">
      <alignment horizontal="center"/>
    </xf>
    <xf numFmtId="43" fontId="18" fillId="0" borderId="5" xfId="1" applyFont="1" applyFill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Border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0" xfId="13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</cellXfs>
  <cellStyles count="16">
    <cellStyle name="Comma" xfId="1" builtinId="3"/>
    <cellStyle name="Comma 2 2" xfId="13" xr:uid="{530B533C-02EB-43F7-A374-89D541C6DC1E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Normal 2 2" xfId="12" xr:uid="{E9FF0529-68D8-42D0-8D17-AB7588E6F5AE}"/>
    <cellStyle name="Normal 3" xfId="15" xr:uid="{DE4926D2-0510-4C1F-82EF-F79C33B58176}"/>
    <cellStyle name="Normal 4" xfId="14" xr:uid="{BEC2387B-5C3A-40BB-8A9E-CDF9E5AE67DA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9995-1BCE-43B5-8B9E-6146002ECE43}">
  <sheetPr codeName="Sheet1"/>
  <dimension ref="A1:T151"/>
  <sheetViews>
    <sheetView tabSelected="1" view="pageBreakPreview" topLeftCell="A2" zoomScale="120" zoomScaleNormal="120" zoomScaleSheetLayoutView="120" workbookViewId="0">
      <selection activeCell="C8" sqref="C8"/>
    </sheetView>
  </sheetViews>
  <sheetFormatPr defaultColWidth="9.140625" defaultRowHeight="18" x14ac:dyDescent="0.4"/>
  <cols>
    <col min="1" max="2" width="2.85546875" style="178" customWidth="1"/>
    <col min="3" max="3" width="33.85546875" style="178" customWidth="1"/>
    <col min="4" max="4" width="5.42578125" style="179" customWidth="1"/>
    <col min="5" max="5" width="0.85546875" style="179" customWidth="1"/>
    <col min="6" max="6" width="12.85546875" style="179" customWidth="1"/>
    <col min="7" max="7" width="0.85546875" style="179" customWidth="1"/>
    <col min="8" max="8" width="13.42578125" style="179" customWidth="1"/>
    <col min="9" max="9" width="0.85546875" style="178" customWidth="1"/>
    <col min="10" max="10" width="12.85546875" style="5" customWidth="1"/>
    <col min="11" max="11" width="0.85546875" style="5" customWidth="1"/>
    <col min="12" max="12" width="13.5703125" style="5" customWidth="1"/>
    <col min="13" max="13" width="2.85546875" style="178" customWidth="1"/>
    <col min="14" max="14" width="15.85546875" style="178" hidden="1" customWidth="1"/>
    <col min="15" max="15" width="2.85546875" style="178" hidden="1" customWidth="1"/>
    <col min="16" max="16" width="13.85546875" style="178" hidden="1" customWidth="1"/>
    <col min="17" max="17" width="2.85546875" style="178" hidden="1" customWidth="1"/>
    <col min="18" max="18" width="14.5703125" style="178" hidden="1" customWidth="1"/>
    <col min="19" max="19" width="5" style="178" hidden="1" customWidth="1"/>
    <col min="20" max="20" width="0" style="178" hidden="1" customWidth="1"/>
    <col min="21" max="16384" width="9.140625" style="178"/>
  </cols>
  <sheetData>
    <row r="1" spans="1:13" hidden="1" x14ac:dyDescent="0.4"/>
    <row r="3" spans="1:13" x14ac:dyDescent="0.4">
      <c r="A3" s="291" t="s">
        <v>131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179"/>
    </row>
    <row r="4" spans="1:13" x14ac:dyDescent="0.4">
      <c r="A4" s="286" t="s">
        <v>236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</row>
    <row r="5" spans="1:13" s="19" customFormat="1" x14ac:dyDescent="0.4">
      <c r="A5" s="286" t="s">
        <v>375</v>
      </c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</row>
    <row r="6" spans="1:13" x14ac:dyDescent="0.4">
      <c r="A6" s="180"/>
      <c r="B6" s="180"/>
      <c r="C6" s="180"/>
      <c r="F6" s="287" t="s">
        <v>132</v>
      </c>
      <c r="G6" s="287"/>
      <c r="H6" s="287"/>
      <c r="I6" s="287"/>
      <c r="J6" s="287"/>
      <c r="K6" s="287"/>
      <c r="L6" s="287"/>
    </row>
    <row r="7" spans="1:13" ht="18.75" x14ac:dyDescent="0.4">
      <c r="A7" s="181"/>
      <c r="B7" s="181"/>
      <c r="C7" s="181"/>
      <c r="F7" s="288" t="s">
        <v>203</v>
      </c>
      <c r="G7" s="288"/>
      <c r="H7" s="288"/>
      <c r="I7" s="182"/>
      <c r="J7" s="288" t="s">
        <v>204</v>
      </c>
      <c r="K7" s="288"/>
      <c r="L7" s="288"/>
    </row>
    <row r="8" spans="1:13" x14ac:dyDescent="0.4">
      <c r="A8" s="181"/>
      <c r="B8" s="181"/>
      <c r="C8" s="181"/>
      <c r="D8" s="183" t="s">
        <v>133</v>
      </c>
      <c r="F8" s="184" t="s">
        <v>376</v>
      </c>
      <c r="G8" s="185"/>
      <c r="H8" s="184" t="s">
        <v>342</v>
      </c>
      <c r="J8" s="186" t="str">
        <f>F8</f>
        <v>June  30, 2025</v>
      </c>
      <c r="K8" s="179"/>
      <c r="L8" s="186" t="str">
        <f>H8</f>
        <v>December 31, 2024</v>
      </c>
    </row>
    <row r="9" spans="1:13" x14ac:dyDescent="0.4">
      <c r="A9" s="181"/>
      <c r="B9" s="181"/>
      <c r="C9" s="181"/>
      <c r="F9" s="185" t="s">
        <v>357</v>
      </c>
      <c r="G9" s="185"/>
      <c r="H9" s="185" t="s">
        <v>359</v>
      </c>
      <c r="J9" s="185" t="s">
        <v>357</v>
      </c>
      <c r="K9" s="185"/>
      <c r="L9" s="185" t="s">
        <v>359</v>
      </c>
    </row>
    <row r="10" spans="1:13" x14ac:dyDescent="0.4">
      <c r="A10" s="181"/>
      <c r="B10" s="181"/>
      <c r="C10" s="181"/>
      <c r="F10" s="185" t="s">
        <v>358</v>
      </c>
      <c r="G10" s="185"/>
      <c r="H10" s="185"/>
      <c r="J10" s="185" t="s">
        <v>358</v>
      </c>
      <c r="K10" s="185"/>
      <c r="L10" s="185"/>
    </row>
    <row r="11" spans="1:13" ht="18" customHeight="1" x14ac:dyDescent="0.4">
      <c r="A11" s="290" t="s">
        <v>136</v>
      </c>
      <c r="B11" s="290"/>
      <c r="C11" s="290"/>
      <c r="D11" s="180"/>
      <c r="E11" s="180"/>
      <c r="F11" s="15"/>
      <c r="G11" s="15"/>
      <c r="H11" s="15"/>
      <c r="J11" s="178"/>
      <c r="K11" s="178"/>
      <c r="L11" s="178"/>
    </row>
    <row r="12" spans="1:13" x14ac:dyDescent="0.4">
      <c r="A12" s="181" t="s">
        <v>134</v>
      </c>
      <c r="B12" s="181"/>
      <c r="C12" s="181"/>
      <c r="D12" s="180"/>
      <c r="E12" s="180"/>
      <c r="F12" s="187"/>
      <c r="G12" s="187"/>
      <c r="H12" s="187"/>
      <c r="I12" s="181"/>
      <c r="J12" s="9"/>
      <c r="K12" s="9"/>
      <c r="L12" s="9"/>
    </row>
    <row r="13" spans="1:13" x14ac:dyDescent="0.4">
      <c r="A13" s="181"/>
      <c r="B13" s="181" t="s">
        <v>135</v>
      </c>
      <c r="C13" s="181"/>
      <c r="D13" s="180">
        <v>3</v>
      </c>
      <c r="E13" s="180"/>
      <c r="F13" s="134">
        <v>117406482.40000001</v>
      </c>
      <c r="G13" s="134"/>
      <c r="H13" s="134">
        <v>226065834.77000001</v>
      </c>
      <c r="I13" s="188"/>
      <c r="J13" s="11">
        <v>51664042.770000011</v>
      </c>
      <c r="K13" s="11"/>
      <c r="L13" s="11">
        <v>117400641.78</v>
      </c>
    </row>
    <row r="14" spans="1:13" x14ac:dyDescent="0.4">
      <c r="A14" s="181"/>
      <c r="B14" s="181" t="s">
        <v>212</v>
      </c>
      <c r="C14" s="181"/>
      <c r="D14" s="180"/>
      <c r="E14" s="180"/>
      <c r="F14" s="134"/>
      <c r="G14" s="134"/>
      <c r="H14" s="134"/>
      <c r="I14" s="188"/>
      <c r="J14" s="11"/>
      <c r="K14" s="11"/>
      <c r="L14" s="11"/>
    </row>
    <row r="15" spans="1:13" x14ac:dyDescent="0.4">
      <c r="A15" s="181"/>
      <c r="B15" s="181"/>
      <c r="C15" s="181" t="s">
        <v>187</v>
      </c>
      <c r="D15" s="180">
        <v>4</v>
      </c>
      <c r="E15" s="180"/>
      <c r="F15" s="134">
        <v>72869808.705310047</v>
      </c>
      <c r="G15" s="134"/>
      <c r="H15" s="134">
        <v>56525841.880000003</v>
      </c>
      <c r="I15" s="188"/>
      <c r="J15" s="11">
        <v>66413455.200000003</v>
      </c>
      <c r="K15" s="11"/>
      <c r="L15" s="11">
        <v>51861455.200000003</v>
      </c>
    </row>
    <row r="16" spans="1:13" x14ac:dyDescent="0.4">
      <c r="A16" s="181"/>
      <c r="B16" s="181" t="s">
        <v>248</v>
      </c>
      <c r="C16" s="181"/>
      <c r="D16" s="180"/>
      <c r="E16" s="180"/>
      <c r="F16" s="134"/>
      <c r="G16" s="134"/>
      <c r="H16" s="134"/>
      <c r="I16" s="188"/>
      <c r="J16" s="11"/>
      <c r="K16" s="11"/>
      <c r="L16" s="11"/>
    </row>
    <row r="17" spans="1:12" x14ac:dyDescent="0.4">
      <c r="A17" s="181"/>
      <c r="B17" s="181"/>
      <c r="C17" s="181" t="s">
        <v>187</v>
      </c>
      <c r="D17" s="180">
        <v>5</v>
      </c>
      <c r="E17" s="180"/>
      <c r="F17" s="134">
        <v>37625373.869999997</v>
      </c>
      <c r="G17" s="134"/>
      <c r="H17" s="134">
        <v>20783301.969999999</v>
      </c>
      <c r="I17" s="188"/>
      <c r="J17" s="11">
        <v>24608347.729999997</v>
      </c>
      <c r="K17" s="11"/>
      <c r="L17" s="11">
        <v>6423744.54</v>
      </c>
    </row>
    <row r="18" spans="1:12" x14ac:dyDescent="0.4">
      <c r="A18" s="181"/>
      <c r="B18" s="181" t="s">
        <v>334</v>
      </c>
      <c r="C18" s="181"/>
      <c r="D18" s="180">
        <v>6</v>
      </c>
      <c r="E18" s="180"/>
      <c r="F18" s="134">
        <v>602327774.18999994</v>
      </c>
      <c r="G18" s="134"/>
      <c r="H18" s="134">
        <v>688383177.6099999</v>
      </c>
      <c r="I18" s="188"/>
      <c r="J18" s="11">
        <v>473028.56</v>
      </c>
      <c r="K18" s="11"/>
      <c r="L18" s="11">
        <v>464301.68</v>
      </c>
    </row>
    <row r="19" spans="1:12" x14ac:dyDescent="0.4">
      <c r="A19" s="181"/>
      <c r="B19" s="181" t="s">
        <v>200</v>
      </c>
      <c r="C19" s="181"/>
      <c r="D19" s="180"/>
      <c r="E19" s="180"/>
      <c r="F19" s="134"/>
      <c r="G19" s="134"/>
      <c r="H19" s="134"/>
      <c r="I19" s="11"/>
      <c r="J19" s="11"/>
      <c r="K19" s="11"/>
      <c r="L19" s="11"/>
    </row>
    <row r="20" spans="1:12" x14ac:dyDescent="0.4">
      <c r="A20" s="181"/>
      <c r="B20" s="181"/>
      <c r="C20" s="181" t="s">
        <v>187</v>
      </c>
      <c r="D20" s="180">
        <v>7</v>
      </c>
      <c r="E20" s="180"/>
      <c r="F20" s="134">
        <v>693500000</v>
      </c>
      <c r="G20" s="134"/>
      <c r="H20" s="134">
        <v>459000000</v>
      </c>
      <c r="I20" s="11"/>
      <c r="J20" s="134">
        <v>693500000</v>
      </c>
      <c r="K20" s="134"/>
      <c r="L20" s="134">
        <v>459000000</v>
      </c>
    </row>
    <row r="21" spans="1:12" x14ac:dyDescent="0.4">
      <c r="A21" s="181"/>
      <c r="B21" s="181"/>
      <c r="C21" s="181" t="s">
        <v>188</v>
      </c>
      <c r="D21" s="180">
        <v>2.2000000000000002</v>
      </c>
      <c r="E21" s="180"/>
      <c r="F21" s="134">
        <v>0</v>
      </c>
      <c r="G21" s="134"/>
      <c r="H21" s="134">
        <v>0</v>
      </c>
      <c r="I21" s="11"/>
      <c r="J21" s="189">
        <v>1613533459.6800001</v>
      </c>
      <c r="K21" s="189"/>
      <c r="L21" s="189">
        <v>1703568144.76</v>
      </c>
    </row>
    <row r="22" spans="1:12" x14ac:dyDescent="0.4">
      <c r="A22" s="181"/>
      <c r="B22" s="181" t="s">
        <v>298</v>
      </c>
      <c r="C22" s="181"/>
      <c r="D22" s="180">
        <v>8</v>
      </c>
      <c r="E22" s="180"/>
      <c r="F22" s="134">
        <v>520986866.62000006</v>
      </c>
      <c r="G22" s="134"/>
      <c r="H22" s="134">
        <v>788283018.52999997</v>
      </c>
      <c r="I22" s="188"/>
      <c r="J22" s="11">
        <v>27025478.280000001</v>
      </c>
      <c r="K22" s="11"/>
      <c r="L22" s="11">
        <v>96984577.430000007</v>
      </c>
    </row>
    <row r="23" spans="1:12" x14ac:dyDescent="0.4">
      <c r="A23" s="181"/>
      <c r="B23" s="181" t="s">
        <v>137</v>
      </c>
      <c r="C23" s="181"/>
      <c r="D23" s="180"/>
      <c r="E23" s="180"/>
      <c r="F23" s="134"/>
      <c r="G23" s="134"/>
      <c r="H23" s="134"/>
      <c r="I23" s="188"/>
      <c r="J23" s="11"/>
      <c r="K23" s="11"/>
      <c r="L23" s="11"/>
    </row>
    <row r="24" spans="1:12" x14ac:dyDescent="0.4">
      <c r="A24" s="181"/>
      <c r="B24" s="181"/>
      <c r="C24" s="181" t="s">
        <v>244</v>
      </c>
      <c r="D24" s="180"/>
      <c r="E24" s="180"/>
      <c r="F24" s="134">
        <v>8429088.4199999981</v>
      </c>
      <c r="G24" s="134"/>
      <c r="H24" s="134">
        <v>8274553.4900000002</v>
      </c>
      <c r="I24" s="188"/>
      <c r="J24" s="11">
        <v>5075698.7699999996</v>
      </c>
      <c r="K24" s="11"/>
      <c r="L24" s="11">
        <v>4921168.82</v>
      </c>
    </row>
    <row r="25" spans="1:12" x14ac:dyDescent="0.4">
      <c r="A25" s="181"/>
      <c r="B25" s="181"/>
      <c r="C25" s="181" t="s">
        <v>343</v>
      </c>
      <c r="D25" s="180"/>
      <c r="E25" s="180"/>
      <c r="F25" s="134">
        <v>0</v>
      </c>
      <c r="G25" s="134"/>
      <c r="H25" s="134">
        <v>11974120.939999999</v>
      </c>
      <c r="I25" s="188"/>
      <c r="J25" s="11">
        <v>0</v>
      </c>
      <c r="K25" s="11"/>
      <c r="L25" s="11">
        <v>11974120.939999999</v>
      </c>
    </row>
    <row r="26" spans="1:12" x14ac:dyDescent="0.4">
      <c r="A26" s="181"/>
      <c r="B26" s="181"/>
      <c r="C26" s="181" t="s">
        <v>141</v>
      </c>
      <c r="D26" s="180"/>
      <c r="E26" s="180"/>
      <c r="F26" s="189">
        <v>1793529.9100000001</v>
      </c>
      <c r="G26" s="189"/>
      <c r="H26" s="189">
        <v>1476972.35</v>
      </c>
      <c r="I26" s="188"/>
      <c r="J26" s="11">
        <v>945684.71</v>
      </c>
      <c r="K26" s="11"/>
      <c r="L26" s="11">
        <v>444644.15</v>
      </c>
    </row>
    <row r="27" spans="1:12" x14ac:dyDescent="0.4">
      <c r="A27" s="181"/>
      <c r="B27" s="181"/>
      <c r="C27" s="181" t="s">
        <v>143</v>
      </c>
      <c r="D27" s="180"/>
      <c r="E27" s="180"/>
      <c r="F27" s="133">
        <f>SUM(F13:F26)</f>
        <v>2054938924.1153102</v>
      </c>
      <c r="G27" s="16"/>
      <c r="H27" s="133">
        <f>SUM(H13:H26)</f>
        <v>2260766821.54</v>
      </c>
      <c r="I27" s="188"/>
      <c r="J27" s="133">
        <f>SUM(J13:J26)</f>
        <v>2483239195.7000003</v>
      </c>
      <c r="K27" s="16"/>
      <c r="L27" s="133">
        <f>SUM(L13:L26)</f>
        <v>2453042799.3000002</v>
      </c>
    </row>
    <row r="28" spans="1:12" ht="9" customHeight="1" x14ac:dyDescent="0.4">
      <c r="A28" s="181"/>
      <c r="B28" s="181"/>
      <c r="C28" s="181"/>
      <c r="D28" s="180"/>
      <c r="E28" s="180"/>
      <c r="F28" s="189"/>
      <c r="G28" s="189"/>
      <c r="H28" s="189"/>
      <c r="I28" s="188"/>
      <c r="J28" s="11"/>
      <c r="K28" s="11"/>
      <c r="L28" s="11"/>
    </row>
    <row r="29" spans="1:12" x14ac:dyDescent="0.4">
      <c r="A29" s="181" t="s">
        <v>139</v>
      </c>
      <c r="B29" s="181"/>
      <c r="C29" s="181"/>
      <c r="D29" s="180"/>
      <c r="E29" s="180"/>
      <c r="F29" s="189"/>
      <c r="G29" s="189"/>
      <c r="H29" s="189"/>
      <c r="I29" s="188"/>
      <c r="J29" s="11"/>
      <c r="K29" s="11"/>
      <c r="L29" s="11"/>
    </row>
    <row r="30" spans="1:12" hidden="1" x14ac:dyDescent="0.4">
      <c r="A30" s="181"/>
      <c r="B30" s="181" t="s">
        <v>208</v>
      </c>
      <c r="C30" s="181"/>
      <c r="D30" s="180"/>
      <c r="E30" s="180"/>
      <c r="F30" s="189"/>
      <c r="G30" s="189"/>
      <c r="H30" s="189"/>
      <c r="I30" s="188"/>
      <c r="J30" s="189"/>
      <c r="K30" s="189"/>
      <c r="L30" s="189"/>
    </row>
    <row r="31" spans="1:12" x14ac:dyDescent="0.4">
      <c r="A31" s="181"/>
      <c r="B31" s="190" t="s">
        <v>189</v>
      </c>
      <c r="C31" s="181"/>
      <c r="D31" s="180">
        <v>9</v>
      </c>
      <c r="E31" s="180"/>
      <c r="F31" s="134">
        <v>0</v>
      </c>
      <c r="G31" s="134"/>
      <c r="H31" s="134">
        <v>0</v>
      </c>
      <c r="I31" s="188"/>
      <c r="J31" s="11">
        <v>261044600</v>
      </c>
      <c r="K31" s="11"/>
      <c r="L31" s="11">
        <v>261044600</v>
      </c>
    </row>
    <row r="32" spans="1:12" x14ac:dyDescent="0.4">
      <c r="A32" s="181"/>
      <c r="B32" s="190" t="s">
        <v>344</v>
      </c>
      <c r="C32" s="181"/>
      <c r="D32" s="180">
        <v>10</v>
      </c>
      <c r="E32" s="180"/>
      <c r="F32" s="134">
        <v>111505919.06999999</v>
      </c>
      <c r="G32" s="134"/>
      <c r="H32" s="134">
        <v>166821800.71000001</v>
      </c>
      <c r="I32" s="188"/>
      <c r="J32" s="134">
        <v>111505919.06999999</v>
      </c>
      <c r="K32" s="11"/>
      <c r="L32" s="11">
        <v>166821800.71000001</v>
      </c>
    </row>
    <row r="33" spans="1:12" x14ac:dyDescent="0.4">
      <c r="A33" s="181"/>
      <c r="B33" s="190" t="s">
        <v>299</v>
      </c>
      <c r="C33" s="181"/>
      <c r="D33" s="180">
        <v>11</v>
      </c>
      <c r="E33" s="180"/>
      <c r="F33" s="134">
        <v>285000551.91000003</v>
      </c>
      <c r="G33" s="134"/>
      <c r="H33" s="134">
        <v>285000576.45999998</v>
      </c>
      <c r="I33" s="188"/>
      <c r="J33" s="11">
        <v>285000000</v>
      </c>
      <c r="K33" s="11"/>
      <c r="L33" s="11">
        <v>285000000</v>
      </c>
    </row>
    <row r="34" spans="1:12" x14ac:dyDescent="0.4">
      <c r="A34" s="181"/>
      <c r="B34" s="190" t="s">
        <v>284</v>
      </c>
      <c r="C34" s="181"/>
      <c r="D34" s="180">
        <v>12</v>
      </c>
      <c r="E34" s="180"/>
      <c r="F34" s="134">
        <v>391500000</v>
      </c>
      <c r="G34" s="134"/>
      <c r="H34" s="134">
        <v>391500000</v>
      </c>
      <c r="I34" s="188"/>
      <c r="J34" s="11">
        <v>391500000</v>
      </c>
      <c r="K34" s="11"/>
      <c r="L34" s="11">
        <v>391500000</v>
      </c>
    </row>
    <row r="35" spans="1:12" x14ac:dyDescent="0.4">
      <c r="A35" s="181"/>
      <c r="B35" s="190" t="s">
        <v>274</v>
      </c>
      <c r="C35" s="181"/>
      <c r="D35" s="180">
        <v>13</v>
      </c>
      <c r="E35" s="180"/>
      <c r="F35" s="189">
        <v>4511520.3</v>
      </c>
      <c r="G35" s="189"/>
      <c r="H35" s="189">
        <v>4729800.18</v>
      </c>
      <c r="I35" s="188"/>
      <c r="J35" s="11">
        <v>4511520.3</v>
      </c>
      <c r="K35" s="11"/>
      <c r="L35" s="11">
        <v>4729800.18</v>
      </c>
    </row>
    <row r="36" spans="1:12" x14ac:dyDescent="0.4">
      <c r="A36" s="181"/>
      <c r="B36" s="190" t="s">
        <v>327</v>
      </c>
      <c r="C36" s="181"/>
      <c r="D36" s="180">
        <v>14</v>
      </c>
      <c r="E36" s="180"/>
      <c r="F36" s="189">
        <v>19898827.930000007</v>
      </c>
      <c r="G36" s="189"/>
      <c r="H36" s="189">
        <v>22544459.469999999</v>
      </c>
      <c r="I36" s="188"/>
      <c r="J36" s="11">
        <v>19892911.580000013</v>
      </c>
      <c r="K36" s="11"/>
      <c r="L36" s="11">
        <v>22530301.52</v>
      </c>
    </row>
    <row r="37" spans="1:12" x14ac:dyDescent="0.4">
      <c r="A37" s="181"/>
      <c r="B37" s="190" t="s">
        <v>345</v>
      </c>
      <c r="C37" s="181"/>
      <c r="D37" s="180">
        <v>15</v>
      </c>
      <c r="E37" s="180"/>
      <c r="F37" s="189">
        <v>214775309.44999999</v>
      </c>
      <c r="G37" s="189"/>
      <c r="H37" s="189">
        <v>214775309.44999999</v>
      </c>
      <c r="I37" s="188"/>
      <c r="J37" s="11">
        <v>0</v>
      </c>
      <c r="K37" s="11"/>
      <c r="L37" s="11">
        <v>0</v>
      </c>
    </row>
    <row r="38" spans="1:12" x14ac:dyDescent="0.4">
      <c r="A38" s="181"/>
      <c r="B38" s="190" t="s">
        <v>346</v>
      </c>
      <c r="C38" s="181"/>
      <c r="D38" s="180">
        <v>16</v>
      </c>
      <c r="E38" s="180"/>
      <c r="F38" s="189">
        <v>2346532.6199999996</v>
      </c>
      <c r="G38" s="189"/>
      <c r="H38" s="189">
        <v>460219.72</v>
      </c>
      <c r="I38" s="188"/>
      <c r="J38" s="11">
        <v>2346532.6199999996</v>
      </c>
      <c r="K38" s="11"/>
      <c r="L38" s="11">
        <v>460219.72</v>
      </c>
    </row>
    <row r="39" spans="1:12" x14ac:dyDescent="0.4">
      <c r="A39" s="181"/>
      <c r="B39" s="190" t="s">
        <v>347</v>
      </c>
      <c r="C39" s="181"/>
      <c r="D39" s="180">
        <v>17.100000000000001</v>
      </c>
      <c r="E39" s="180"/>
      <c r="F39" s="189">
        <v>78077782.609999999</v>
      </c>
      <c r="G39" s="189"/>
      <c r="H39" s="189">
        <v>81549776.189999998</v>
      </c>
      <c r="I39" s="188"/>
      <c r="J39" s="11">
        <v>0</v>
      </c>
      <c r="K39" s="11"/>
      <c r="L39" s="11">
        <v>0</v>
      </c>
    </row>
    <row r="40" spans="1:12" x14ac:dyDescent="0.4">
      <c r="A40" s="181"/>
      <c r="B40" s="190" t="s">
        <v>348</v>
      </c>
      <c r="C40" s="181"/>
      <c r="D40" s="180">
        <v>17.2</v>
      </c>
      <c r="E40" s="180"/>
      <c r="F40" s="189">
        <v>425850317.44999999</v>
      </c>
      <c r="G40" s="189"/>
      <c r="H40" s="189">
        <v>444038620.85000002</v>
      </c>
      <c r="I40" s="188"/>
      <c r="J40" s="11">
        <v>0</v>
      </c>
      <c r="K40" s="11"/>
      <c r="L40" s="11">
        <v>0</v>
      </c>
    </row>
    <row r="41" spans="1:12" x14ac:dyDescent="0.4">
      <c r="A41" s="181"/>
      <c r="B41" s="190" t="s">
        <v>259</v>
      </c>
      <c r="C41" s="181"/>
      <c r="D41" s="180">
        <v>18.399999999999999</v>
      </c>
      <c r="E41" s="180"/>
      <c r="F41" s="191">
        <v>178949483.94</v>
      </c>
      <c r="G41" s="189"/>
      <c r="H41" s="189">
        <v>128854377.94</v>
      </c>
      <c r="I41" s="188"/>
      <c r="J41" s="170">
        <v>165308141.68000001</v>
      </c>
      <c r="K41" s="11"/>
      <c r="L41" s="11">
        <v>115478470.51000001</v>
      </c>
    </row>
    <row r="42" spans="1:12" x14ac:dyDescent="0.4">
      <c r="A42" s="181"/>
      <c r="B42" s="190" t="s">
        <v>140</v>
      </c>
      <c r="C42" s="190"/>
      <c r="D42" s="180"/>
      <c r="E42" s="180"/>
      <c r="F42" s="189">
        <v>428610</v>
      </c>
      <c r="G42" s="189"/>
      <c r="H42" s="189">
        <v>428610</v>
      </c>
      <c r="I42" s="188"/>
      <c r="J42" s="11">
        <v>428610</v>
      </c>
      <c r="K42" s="11"/>
      <c r="L42" s="11">
        <v>428610</v>
      </c>
    </row>
    <row r="43" spans="1:12" x14ac:dyDescent="0.4">
      <c r="A43" s="181"/>
      <c r="B43" s="181"/>
      <c r="C43" s="190" t="s">
        <v>142</v>
      </c>
      <c r="D43" s="180"/>
      <c r="E43" s="180"/>
      <c r="F43" s="133">
        <f>SUM(F30:F42)</f>
        <v>1712844855.2800002</v>
      </c>
      <c r="G43" s="16"/>
      <c r="H43" s="133">
        <f>SUM(H30:H42)</f>
        <v>1740703550.9700003</v>
      </c>
      <c r="I43" s="188"/>
      <c r="J43" s="133">
        <f>SUM(J30:J42)</f>
        <v>1241538235.25</v>
      </c>
      <c r="K43" s="16"/>
      <c r="L43" s="133">
        <f>SUM(L30:L42)</f>
        <v>1247993802.6400001</v>
      </c>
    </row>
    <row r="44" spans="1:12" ht="18.75" thickBot="1" x14ac:dyDescent="0.45">
      <c r="A44" s="190" t="s">
        <v>144</v>
      </c>
      <c r="B44" s="181"/>
      <c r="C44" s="181"/>
      <c r="D44" s="180"/>
      <c r="E44" s="180"/>
      <c r="F44" s="135">
        <f>+F43+F27</f>
        <v>3767783779.3953104</v>
      </c>
      <c r="G44" s="16"/>
      <c r="H44" s="135">
        <f>+H43+H27</f>
        <v>4001470372.5100002</v>
      </c>
      <c r="I44" s="188"/>
      <c r="J44" s="135">
        <f>+J43+J27</f>
        <v>3724777430.9500003</v>
      </c>
      <c r="K44" s="16"/>
      <c r="L44" s="135">
        <f>+L43+L27</f>
        <v>3701036601.9400005</v>
      </c>
    </row>
    <row r="45" spans="1:12" ht="9" customHeight="1" thickTop="1" x14ac:dyDescent="0.4">
      <c r="A45" s="181"/>
      <c r="B45" s="181"/>
      <c r="C45" s="181"/>
      <c r="D45" s="180"/>
      <c r="E45" s="180"/>
      <c r="F45" s="192"/>
      <c r="G45" s="192"/>
      <c r="H45" s="192"/>
      <c r="I45" s="188"/>
      <c r="J45" s="16"/>
      <c r="K45" s="16"/>
      <c r="L45" s="16"/>
    </row>
    <row r="46" spans="1:12" x14ac:dyDescent="0.4">
      <c r="A46" s="193" t="s">
        <v>360</v>
      </c>
      <c r="B46" s="181"/>
      <c r="C46" s="181"/>
      <c r="D46" s="180"/>
      <c r="E46" s="180"/>
      <c r="F46" s="180"/>
      <c r="G46" s="180"/>
      <c r="H46" s="180"/>
      <c r="I46" s="181"/>
      <c r="J46" s="13"/>
      <c r="K46" s="13"/>
      <c r="L46" s="13"/>
    </row>
    <row r="47" spans="1:12" x14ac:dyDescent="0.4">
      <c r="B47" s="181"/>
      <c r="C47" s="181"/>
      <c r="D47" s="180"/>
      <c r="E47" s="180"/>
      <c r="F47" s="180"/>
      <c r="G47" s="180"/>
      <c r="H47" s="180"/>
      <c r="I47" s="181"/>
      <c r="J47" s="9"/>
      <c r="K47" s="9"/>
      <c r="L47" s="9"/>
    </row>
    <row r="48" spans="1:12" ht="18.75" customHeight="1" x14ac:dyDescent="0.4">
      <c r="A48" s="181"/>
      <c r="B48" s="181"/>
      <c r="C48" s="181"/>
      <c r="D48" s="180"/>
      <c r="E48" s="180"/>
      <c r="F48" s="180"/>
      <c r="G48" s="180"/>
      <c r="H48" s="180"/>
      <c r="I48" s="181"/>
      <c r="J48" s="9"/>
      <c r="K48" s="9"/>
      <c r="L48" s="9"/>
    </row>
    <row r="49" spans="1:12" x14ac:dyDescent="0.4">
      <c r="A49" s="180"/>
      <c r="B49" s="194" t="s">
        <v>145</v>
      </c>
      <c r="C49" s="180"/>
      <c r="D49" s="194"/>
      <c r="E49" s="180"/>
      <c r="G49" s="194"/>
      <c r="H49" s="194" t="s">
        <v>145</v>
      </c>
      <c r="I49" s="180"/>
      <c r="J49" s="180"/>
      <c r="K49" s="180"/>
      <c r="L49" s="180"/>
    </row>
    <row r="50" spans="1:12" ht="9.75" customHeight="1" x14ac:dyDescent="0.4">
      <c r="A50" s="289"/>
      <c r="B50" s="289"/>
      <c r="C50" s="289"/>
      <c r="D50" s="289"/>
      <c r="E50" s="289"/>
      <c r="F50" s="289"/>
      <c r="G50" s="289"/>
      <c r="H50" s="289"/>
      <c r="I50" s="289"/>
      <c r="J50" s="289"/>
      <c r="K50" s="289"/>
      <c r="L50" s="289"/>
    </row>
    <row r="51" spans="1:12" x14ac:dyDescent="0.4">
      <c r="B51" s="194"/>
      <c r="C51" s="180"/>
      <c r="D51" s="194"/>
      <c r="E51" s="194"/>
      <c r="F51" s="194"/>
      <c r="G51" s="194"/>
      <c r="H51" s="180"/>
      <c r="I51" s="194"/>
      <c r="J51" s="194"/>
      <c r="K51" s="194"/>
      <c r="L51" s="194"/>
    </row>
    <row r="52" spans="1:12" x14ac:dyDescent="0.4">
      <c r="A52" s="194"/>
      <c r="B52" s="195"/>
      <c r="C52" s="180"/>
      <c r="D52" s="180"/>
      <c r="E52" s="180"/>
      <c r="F52" s="180"/>
      <c r="G52" s="180"/>
      <c r="H52" s="180"/>
      <c r="I52" s="180"/>
      <c r="J52" s="180"/>
      <c r="K52" s="180"/>
      <c r="L52" s="9"/>
    </row>
    <row r="53" spans="1:12" x14ac:dyDescent="0.4">
      <c r="A53" s="286" t="s">
        <v>131</v>
      </c>
      <c r="B53" s="286"/>
      <c r="C53" s="286"/>
      <c r="D53" s="286"/>
      <c r="E53" s="286"/>
      <c r="F53" s="286"/>
      <c r="G53" s="286"/>
      <c r="H53" s="286"/>
      <c r="I53" s="286"/>
      <c r="J53" s="286"/>
      <c r="K53" s="286"/>
      <c r="L53" s="286"/>
    </row>
    <row r="54" spans="1:12" x14ac:dyDescent="0.4">
      <c r="A54" s="286" t="s">
        <v>236</v>
      </c>
      <c r="B54" s="286"/>
      <c r="C54" s="286"/>
      <c r="D54" s="286"/>
      <c r="E54" s="286"/>
      <c r="F54" s="286"/>
      <c r="G54" s="286"/>
      <c r="H54" s="286"/>
      <c r="I54" s="286"/>
      <c r="J54" s="286"/>
      <c r="K54" s="286"/>
      <c r="L54" s="286"/>
    </row>
    <row r="55" spans="1:12" s="19" customFormat="1" x14ac:dyDescent="0.4">
      <c r="A55" s="286" t="str">
        <f>+A5</f>
        <v>AS AT JUNE 30, 2025</v>
      </c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</row>
    <row r="56" spans="1:12" ht="18.75" customHeight="1" x14ac:dyDescent="0.4">
      <c r="A56" s="181"/>
      <c r="B56" s="181"/>
      <c r="C56" s="181"/>
      <c r="F56" s="287" t="s">
        <v>132</v>
      </c>
      <c r="G56" s="287"/>
      <c r="H56" s="287"/>
      <c r="I56" s="287"/>
      <c r="J56" s="287"/>
      <c r="K56" s="287"/>
      <c r="L56" s="287"/>
    </row>
    <row r="57" spans="1:12" ht="18.75" customHeight="1" x14ac:dyDescent="0.4">
      <c r="A57" s="181"/>
      <c r="B57" s="181"/>
      <c r="C57" s="181"/>
      <c r="F57" s="288" t="s">
        <v>203</v>
      </c>
      <c r="G57" s="288"/>
      <c r="H57" s="288"/>
      <c r="I57" s="182"/>
      <c r="J57" s="288" t="s">
        <v>204</v>
      </c>
      <c r="K57" s="288"/>
      <c r="L57" s="288"/>
    </row>
    <row r="58" spans="1:12" x14ac:dyDescent="0.4">
      <c r="A58" s="181"/>
      <c r="B58" s="181"/>
      <c r="C58" s="181"/>
      <c r="D58" s="183" t="s">
        <v>133</v>
      </c>
      <c r="F58" s="186" t="str">
        <f>F8</f>
        <v>June  30, 2025</v>
      </c>
      <c r="H58" s="186" t="str">
        <f>H8</f>
        <v>December 31, 2024</v>
      </c>
      <c r="J58" s="186" t="str">
        <f>J8</f>
        <v>June  30, 2025</v>
      </c>
      <c r="K58" s="179"/>
      <c r="L58" s="186" t="str">
        <f>L8</f>
        <v>December 31, 2024</v>
      </c>
    </row>
    <row r="59" spans="1:12" s="196" customFormat="1" ht="18" customHeight="1" x14ac:dyDescent="0.4">
      <c r="A59" s="179"/>
      <c r="B59" s="179"/>
      <c r="C59" s="179"/>
      <c r="D59" s="179"/>
      <c r="E59" s="179"/>
      <c r="F59" s="185" t="s">
        <v>357</v>
      </c>
      <c r="G59" s="185"/>
      <c r="H59" s="185" t="s">
        <v>359</v>
      </c>
      <c r="I59" s="178"/>
      <c r="J59" s="185" t="s">
        <v>357</v>
      </c>
      <c r="K59" s="185"/>
      <c r="L59" s="185" t="s">
        <v>359</v>
      </c>
    </row>
    <row r="60" spans="1:12" s="196" customFormat="1" ht="18" customHeight="1" x14ac:dyDescent="0.4">
      <c r="A60" s="179"/>
      <c r="B60" s="179"/>
      <c r="C60" s="179"/>
      <c r="D60" s="179"/>
      <c r="E60" s="179"/>
      <c r="F60" s="185" t="s">
        <v>358</v>
      </c>
      <c r="G60" s="185"/>
      <c r="H60" s="185"/>
      <c r="I60" s="178"/>
      <c r="J60" s="185" t="s">
        <v>358</v>
      </c>
      <c r="K60" s="185"/>
      <c r="L60" s="185"/>
    </row>
    <row r="61" spans="1:12" ht="18" customHeight="1" x14ac:dyDescent="0.4">
      <c r="A61" s="290" t="s">
        <v>146</v>
      </c>
      <c r="B61" s="290"/>
      <c r="C61" s="290"/>
      <c r="D61" s="180"/>
      <c r="E61" s="180"/>
      <c r="F61" s="20"/>
      <c r="G61" s="20"/>
      <c r="H61" s="20"/>
      <c r="I61" s="181"/>
      <c r="J61" s="20"/>
      <c r="K61" s="20"/>
      <c r="L61" s="20"/>
    </row>
    <row r="62" spans="1:12" x14ac:dyDescent="0.4">
      <c r="A62" s="190" t="s">
        <v>147</v>
      </c>
      <c r="B62" s="181"/>
      <c r="C62" s="181"/>
      <c r="D62" s="180"/>
      <c r="E62" s="180"/>
      <c r="F62" s="197"/>
      <c r="G62" s="197"/>
      <c r="H62" s="197"/>
      <c r="I62" s="181"/>
      <c r="J62" s="9"/>
      <c r="K62" s="9"/>
      <c r="L62" s="9"/>
    </row>
    <row r="63" spans="1:12" x14ac:dyDescent="0.4">
      <c r="A63" s="181"/>
      <c r="B63" s="181" t="s">
        <v>285</v>
      </c>
      <c r="C63" s="181"/>
      <c r="D63" s="180">
        <v>19</v>
      </c>
      <c r="E63" s="180"/>
      <c r="F63" s="134">
        <v>625000000</v>
      </c>
      <c r="G63" s="197"/>
      <c r="H63" s="134">
        <v>220000000</v>
      </c>
      <c r="I63" s="181"/>
      <c r="J63" s="11">
        <v>625000000</v>
      </c>
      <c r="K63" s="9"/>
      <c r="L63" s="11">
        <v>220000000</v>
      </c>
    </row>
    <row r="64" spans="1:12" hidden="1" x14ac:dyDescent="0.4">
      <c r="A64" s="181"/>
      <c r="B64" s="181" t="s">
        <v>260</v>
      </c>
      <c r="C64" s="181"/>
      <c r="D64" s="180"/>
      <c r="E64" s="180"/>
      <c r="F64" s="10"/>
      <c r="G64" s="10"/>
      <c r="H64" s="10"/>
      <c r="I64" s="198"/>
      <c r="J64" s="9"/>
      <c r="K64" s="9"/>
      <c r="L64" s="9"/>
    </row>
    <row r="65" spans="1:14" hidden="1" x14ac:dyDescent="0.4">
      <c r="A65" s="181"/>
      <c r="B65" s="181"/>
      <c r="C65" s="181" t="s">
        <v>187</v>
      </c>
      <c r="D65" s="180"/>
      <c r="E65" s="180"/>
      <c r="F65" s="134"/>
      <c r="G65" s="134"/>
      <c r="H65" s="134">
        <v>0</v>
      </c>
      <c r="I65" s="188"/>
      <c r="J65" s="11"/>
      <c r="K65" s="11"/>
      <c r="L65" s="11">
        <v>0</v>
      </c>
    </row>
    <row r="66" spans="1:14" hidden="1" x14ac:dyDescent="0.4">
      <c r="A66" s="181"/>
      <c r="B66" s="181"/>
      <c r="C66" s="181" t="s">
        <v>305</v>
      </c>
      <c r="D66" s="180">
        <v>2.5</v>
      </c>
      <c r="E66" s="180"/>
      <c r="F66" s="134"/>
      <c r="G66" s="134"/>
      <c r="H66" s="134">
        <v>0</v>
      </c>
      <c r="I66" s="188"/>
      <c r="J66" s="11"/>
      <c r="K66" s="11"/>
      <c r="L66" s="11">
        <v>0</v>
      </c>
    </row>
    <row r="67" spans="1:14" x14ac:dyDescent="0.4">
      <c r="A67" s="181"/>
      <c r="B67" s="181" t="s">
        <v>300</v>
      </c>
      <c r="C67" s="181"/>
      <c r="D67" s="178"/>
      <c r="E67" s="178"/>
      <c r="F67" s="178"/>
      <c r="G67" s="178"/>
      <c r="H67" s="178"/>
      <c r="J67" s="178"/>
      <c r="K67" s="178"/>
      <c r="L67" s="178"/>
    </row>
    <row r="68" spans="1:14" x14ac:dyDescent="0.4">
      <c r="A68" s="181"/>
      <c r="B68" s="181"/>
      <c r="C68" s="181" t="s">
        <v>187</v>
      </c>
      <c r="D68" s="179">
        <v>20</v>
      </c>
      <c r="E68" s="180"/>
      <c r="F68" s="134">
        <v>20538410.670000002</v>
      </c>
      <c r="G68" s="134"/>
      <c r="H68" s="134">
        <v>41045685.57</v>
      </c>
      <c r="I68" s="188"/>
      <c r="J68" s="11">
        <v>20045651.210000001</v>
      </c>
      <c r="K68" s="11"/>
      <c r="L68" s="11">
        <v>39327409.770000003</v>
      </c>
    </row>
    <row r="69" spans="1:14" x14ac:dyDescent="0.4">
      <c r="A69" s="181"/>
      <c r="B69" s="181"/>
      <c r="C69" s="181" t="s">
        <v>305</v>
      </c>
      <c r="D69" s="179">
        <v>2.2999999999999998</v>
      </c>
      <c r="E69" s="180"/>
      <c r="F69" s="134">
        <v>0</v>
      </c>
      <c r="G69" s="134"/>
      <c r="H69" s="134">
        <v>0</v>
      </c>
      <c r="I69" s="188"/>
      <c r="J69" s="11">
        <v>0</v>
      </c>
      <c r="K69" s="11"/>
      <c r="L69" s="11">
        <v>1203996.25</v>
      </c>
    </row>
    <row r="70" spans="1:14" x14ac:dyDescent="0.4">
      <c r="A70" s="181"/>
      <c r="B70" s="181" t="s">
        <v>200</v>
      </c>
      <c r="E70" s="180"/>
      <c r="F70" s="134"/>
      <c r="G70" s="134"/>
      <c r="H70" s="134"/>
      <c r="I70" s="188"/>
      <c r="J70" s="11"/>
      <c r="K70" s="11"/>
      <c r="L70" s="11"/>
    </row>
    <row r="71" spans="1:14" x14ac:dyDescent="0.4">
      <c r="A71" s="181"/>
      <c r="B71" s="181"/>
      <c r="C71" s="181" t="s">
        <v>305</v>
      </c>
      <c r="D71" s="179">
        <v>2.4</v>
      </c>
      <c r="E71" s="180"/>
      <c r="F71" s="134">
        <v>0</v>
      </c>
      <c r="G71" s="134"/>
      <c r="H71" s="134">
        <v>0</v>
      </c>
      <c r="I71" s="188"/>
      <c r="J71" s="11">
        <v>6000000</v>
      </c>
      <c r="K71" s="11"/>
      <c r="L71" s="11">
        <v>6000000</v>
      </c>
    </row>
    <row r="72" spans="1:14" x14ac:dyDescent="0.4">
      <c r="A72" s="181"/>
      <c r="B72" s="181" t="s">
        <v>349</v>
      </c>
      <c r="D72" s="180">
        <v>21</v>
      </c>
      <c r="E72" s="180"/>
      <c r="F72" s="134">
        <v>758548.59000000008</v>
      </c>
      <c r="G72" s="134"/>
      <c r="H72" s="134">
        <v>474599.76</v>
      </c>
      <c r="I72" s="188"/>
      <c r="J72" s="134">
        <v>758548.59000000008</v>
      </c>
      <c r="K72" s="134"/>
      <c r="L72" s="134">
        <v>474599.76</v>
      </c>
    </row>
    <row r="73" spans="1:14" x14ac:dyDescent="0.4">
      <c r="A73" s="181"/>
      <c r="B73" s="181" t="s">
        <v>148</v>
      </c>
      <c r="C73" s="181"/>
      <c r="D73" s="180"/>
      <c r="E73" s="180"/>
      <c r="F73" s="134"/>
      <c r="G73" s="134"/>
      <c r="H73" s="134"/>
      <c r="I73" s="188"/>
      <c r="J73" s="134"/>
      <c r="K73" s="134"/>
      <c r="L73" s="134"/>
    </row>
    <row r="74" spans="1:14" x14ac:dyDescent="0.4">
      <c r="A74" s="181"/>
      <c r="B74" s="181"/>
      <c r="C74" s="181" t="s">
        <v>209</v>
      </c>
      <c r="D74" s="180"/>
      <c r="E74" s="180"/>
      <c r="F74" s="134">
        <v>4344805.4800000004</v>
      </c>
      <c r="G74" s="134"/>
      <c r="H74" s="134">
        <v>3392805.48</v>
      </c>
      <c r="I74" s="189"/>
      <c r="J74" s="189">
        <v>4344805.4800000004</v>
      </c>
      <c r="K74" s="189"/>
      <c r="L74" s="189">
        <v>3392805.48</v>
      </c>
    </row>
    <row r="75" spans="1:14" x14ac:dyDescent="0.4">
      <c r="A75" s="181"/>
      <c r="B75" s="181"/>
      <c r="C75" s="181" t="s">
        <v>138</v>
      </c>
      <c r="D75" s="180"/>
      <c r="E75" s="180"/>
      <c r="F75" s="134">
        <v>1594386.1099999999</v>
      </c>
      <c r="G75" s="134"/>
      <c r="H75" s="134">
        <v>1304910.02</v>
      </c>
      <c r="I75" s="188"/>
      <c r="J75" s="11">
        <v>1562173.0199999998</v>
      </c>
      <c r="K75" s="11"/>
      <c r="L75" s="11">
        <v>1271980.8799999999</v>
      </c>
    </row>
    <row r="76" spans="1:14" x14ac:dyDescent="0.4">
      <c r="A76" s="181"/>
      <c r="B76" s="181"/>
      <c r="C76" s="190" t="s">
        <v>149</v>
      </c>
      <c r="D76" s="180"/>
      <c r="E76" s="180"/>
      <c r="F76" s="133">
        <f>SUM(F63:F75)</f>
        <v>652236150.85000002</v>
      </c>
      <c r="G76" s="16"/>
      <c r="H76" s="133">
        <f>SUM(H63:H75)</f>
        <v>266218000.82999998</v>
      </c>
      <c r="I76" s="188"/>
      <c r="J76" s="133">
        <f>SUM(J63:J75)</f>
        <v>657711178.30000007</v>
      </c>
      <c r="K76" s="16"/>
      <c r="L76" s="133">
        <f>SUM(L63:L75)</f>
        <v>271670792.13999999</v>
      </c>
    </row>
    <row r="77" spans="1:14" x14ac:dyDescent="0.4">
      <c r="A77" s="181"/>
      <c r="B77" s="181"/>
      <c r="C77" s="190"/>
      <c r="D77" s="180"/>
      <c r="E77" s="180"/>
      <c r="F77" s="16"/>
      <c r="G77" s="16"/>
      <c r="H77" s="16"/>
      <c r="I77" s="188"/>
      <c r="J77" s="16"/>
      <c r="K77" s="16"/>
      <c r="L77" s="16"/>
    </row>
    <row r="78" spans="1:14" x14ac:dyDescent="0.4">
      <c r="A78" s="190" t="s">
        <v>220</v>
      </c>
      <c r="B78" s="181"/>
      <c r="C78" s="190"/>
      <c r="D78" s="180"/>
      <c r="E78" s="180"/>
      <c r="F78" s="16"/>
      <c r="G78" s="16"/>
      <c r="H78" s="16"/>
      <c r="I78" s="188"/>
      <c r="J78" s="16"/>
      <c r="K78" s="16"/>
      <c r="L78" s="16"/>
    </row>
    <row r="79" spans="1:14" x14ac:dyDescent="0.4">
      <c r="A79" s="190"/>
      <c r="B79" s="181" t="s">
        <v>384</v>
      </c>
      <c r="C79" s="190"/>
      <c r="D79" s="180">
        <v>21</v>
      </c>
      <c r="E79" s="180"/>
      <c r="F79" s="16">
        <v>1587984.03</v>
      </c>
      <c r="G79" s="16"/>
      <c r="H79" s="16">
        <v>0</v>
      </c>
      <c r="I79" s="188"/>
      <c r="J79" s="170">
        <v>1587984.03</v>
      </c>
      <c r="K79" s="16"/>
      <c r="L79" s="16">
        <v>0</v>
      </c>
    </row>
    <row r="80" spans="1:14" x14ac:dyDescent="0.4">
      <c r="A80" s="181"/>
      <c r="B80" s="181" t="s">
        <v>301</v>
      </c>
      <c r="C80" s="190"/>
      <c r="D80" s="180">
        <v>22</v>
      </c>
      <c r="E80" s="180"/>
      <c r="F80" s="134">
        <v>43159456</v>
      </c>
      <c r="G80" s="134"/>
      <c r="H80" s="134">
        <v>37684847</v>
      </c>
      <c r="I80" s="11"/>
      <c r="J80" s="11">
        <v>43138702</v>
      </c>
      <c r="K80" s="11"/>
      <c r="L80" s="11">
        <v>37684847</v>
      </c>
      <c r="N80" s="199"/>
    </row>
    <row r="81" spans="1:12" x14ac:dyDescent="0.4">
      <c r="A81" s="181"/>
      <c r="B81" s="181"/>
      <c r="C81" s="190" t="s">
        <v>221</v>
      </c>
      <c r="D81" s="180"/>
      <c r="E81" s="180"/>
      <c r="F81" s="133">
        <f>SUM(F79:F80)</f>
        <v>44747440.030000001</v>
      </c>
      <c r="G81" s="16"/>
      <c r="H81" s="133">
        <f>SUM(H79:H80)</f>
        <v>37684847</v>
      </c>
      <c r="I81" s="11"/>
      <c r="J81" s="133">
        <f>SUM(J79:J80)</f>
        <v>44726686.030000001</v>
      </c>
      <c r="K81" s="16"/>
      <c r="L81" s="133">
        <f>SUM(L79:L80)</f>
        <v>37684847</v>
      </c>
    </row>
    <row r="82" spans="1:12" x14ac:dyDescent="0.4">
      <c r="A82" s="181"/>
      <c r="B82" s="181"/>
      <c r="C82" s="190" t="s">
        <v>222</v>
      </c>
      <c r="D82" s="180"/>
      <c r="E82" s="180"/>
      <c r="F82" s="131">
        <f>+F81+F76</f>
        <v>696983590.88</v>
      </c>
      <c r="G82" s="16"/>
      <c r="H82" s="131">
        <f>+H81+H76</f>
        <v>303902847.82999998</v>
      </c>
      <c r="I82" s="188"/>
      <c r="J82" s="131">
        <f>+J81+J76</f>
        <v>702437864.33000004</v>
      </c>
      <c r="K82" s="16"/>
      <c r="L82" s="131">
        <f>+L81+L76</f>
        <v>309355639.13999999</v>
      </c>
    </row>
    <row r="83" spans="1:12" x14ac:dyDescent="0.4">
      <c r="A83" s="181"/>
      <c r="B83" s="181"/>
      <c r="C83" s="190"/>
      <c r="D83" s="180"/>
      <c r="E83" s="180"/>
      <c r="F83" s="16"/>
      <c r="G83" s="16"/>
      <c r="H83" s="16"/>
      <c r="I83" s="188"/>
      <c r="J83" s="16"/>
      <c r="K83" s="16"/>
      <c r="L83" s="16"/>
    </row>
    <row r="84" spans="1:12" x14ac:dyDescent="0.4">
      <c r="A84" s="181" t="s">
        <v>360</v>
      </c>
      <c r="B84" s="181"/>
      <c r="C84" s="190"/>
      <c r="D84" s="180"/>
      <c r="E84" s="180"/>
      <c r="F84" s="13"/>
      <c r="G84" s="13"/>
      <c r="H84" s="13"/>
      <c r="I84" s="198"/>
      <c r="J84" s="13"/>
      <c r="K84" s="13"/>
      <c r="L84" s="13"/>
    </row>
    <row r="85" spans="1:12" x14ac:dyDescent="0.4">
      <c r="A85" s="181"/>
      <c r="B85" s="181"/>
      <c r="C85" s="190"/>
      <c r="D85" s="180"/>
      <c r="E85" s="180"/>
      <c r="F85" s="13"/>
      <c r="G85" s="13"/>
      <c r="H85" s="13"/>
      <c r="I85" s="198"/>
      <c r="J85" s="13"/>
      <c r="K85" s="13"/>
      <c r="L85" s="13"/>
    </row>
    <row r="86" spans="1:12" x14ac:dyDescent="0.4">
      <c r="A86" s="181"/>
      <c r="B86" s="181"/>
      <c r="C86" s="190"/>
      <c r="D86" s="180"/>
      <c r="E86" s="180"/>
      <c r="F86" s="13"/>
      <c r="G86" s="13"/>
      <c r="H86" s="13"/>
      <c r="I86" s="198"/>
      <c r="J86" s="13"/>
      <c r="K86" s="13"/>
      <c r="L86" s="13"/>
    </row>
    <row r="87" spans="1:12" x14ac:dyDescent="0.4">
      <c r="A87" s="181"/>
      <c r="B87" s="181"/>
      <c r="C87" s="190"/>
      <c r="D87" s="180"/>
      <c r="E87" s="180"/>
      <c r="F87" s="13"/>
      <c r="G87" s="13"/>
      <c r="H87" s="13"/>
      <c r="I87" s="198"/>
      <c r="J87" s="13"/>
      <c r="K87" s="13"/>
      <c r="L87" s="13"/>
    </row>
    <row r="88" spans="1:12" x14ac:dyDescent="0.4">
      <c r="A88" s="181"/>
      <c r="B88" s="181"/>
      <c r="C88" s="190"/>
      <c r="D88" s="180"/>
      <c r="E88" s="180"/>
      <c r="F88" s="13"/>
      <c r="G88" s="13"/>
      <c r="H88" s="13"/>
      <c r="I88" s="198"/>
      <c r="J88" s="13"/>
      <c r="K88" s="13"/>
      <c r="L88" s="13"/>
    </row>
    <row r="89" spans="1:12" x14ac:dyDescent="0.4">
      <c r="A89" s="181"/>
      <c r="B89" s="181"/>
      <c r="C89" s="190"/>
      <c r="D89" s="180"/>
      <c r="E89" s="180"/>
      <c r="F89" s="13"/>
      <c r="G89" s="13"/>
      <c r="H89" s="13"/>
      <c r="I89" s="198"/>
      <c r="J89" s="13"/>
      <c r="K89" s="13"/>
      <c r="L89" s="13"/>
    </row>
    <row r="90" spans="1:12" x14ac:dyDescent="0.4">
      <c r="A90" s="181"/>
      <c r="B90" s="181"/>
      <c r="C90" s="190"/>
      <c r="D90" s="180"/>
      <c r="E90" s="180"/>
      <c r="F90" s="13"/>
      <c r="G90" s="13"/>
      <c r="H90" s="13"/>
      <c r="I90" s="198"/>
      <c r="J90" s="13"/>
      <c r="K90" s="13"/>
      <c r="L90" s="13"/>
    </row>
    <row r="91" spans="1:12" x14ac:dyDescent="0.4">
      <c r="A91" s="181"/>
      <c r="B91" s="181"/>
      <c r="C91" s="190"/>
      <c r="D91" s="180"/>
      <c r="E91" s="180"/>
      <c r="F91" s="13"/>
      <c r="G91" s="13"/>
      <c r="H91" s="13"/>
      <c r="I91" s="198"/>
      <c r="J91" s="13"/>
      <c r="K91" s="13"/>
      <c r="L91" s="13"/>
    </row>
    <row r="92" spans="1:12" x14ac:dyDescent="0.4">
      <c r="A92" s="181"/>
      <c r="B92" s="181"/>
      <c r="C92" s="190"/>
      <c r="D92" s="180"/>
      <c r="E92" s="180"/>
      <c r="F92" s="13"/>
      <c r="G92" s="13"/>
      <c r="H92" s="13"/>
      <c r="I92" s="198"/>
      <c r="J92" s="13"/>
      <c r="K92" s="13"/>
      <c r="L92" s="13"/>
    </row>
    <row r="93" spans="1:12" x14ac:dyDescent="0.4">
      <c r="A93" s="181"/>
      <c r="B93" s="181"/>
      <c r="C93" s="190"/>
      <c r="D93" s="180"/>
      <c r="E93" s="180"/>
      <c r="F93" s="13"/>
      <c r="G93" s="13"/>
      <c r="H93" s="13"/>
      <c r="I93" s="198"/>
      <c r="J93" s="13"/>
      <c r="K93" s="13"/>
      <c r="L93" s="13"/>
    </row>
    <row r="94" spans="1:12" x14ac:dyDescent="0.4">
      <c r="A94" s="181"/>
      <c r="B94" s="181"/>
      <c r="C94" s="190"/>
      <c r="D94" s="180"/>
      <c r="E94" s="180"/>
      <c r="F94" s="13"/>
      <c r="G94" s="13"/>
      <c r="H94" s="13"/>
      <c r="I94" s="198"/>
      <c r="J94" s="13"/>
      <c r="K94" s="13"/>
      <c r="L94" s="13"/>
    </row>
    <row r="95" spans="1:12" x14ac:dyDescent="0.4">
      <c r="A95" s="181"/>
      <c r="B95" s="181"/>
      <c r="C95" s="190"/>
      <c r="D95" s="180"/>
      <c r="E95" s="180"/>
      <c r="F95" s="13"/>
      <c r="G95" s="13"/>
      <c r="H95" s="13"/>
      <c r="I95" s="198"/>
      <c r="J95" s="13"/>
      <c r="K95" s="13"/>
      <c r="L95" s="13"/>
    </row>
    <row r="96" spans="1:12" x14ac:dyDescent="0.4">
      <c r="A96" s="181"/>
      <c r="B96" s="181"/>
      <c r="C96" s="190"/>
      <c r="D96" s="180"/>
      <c r="E96" s="180"/>
      <c r="F96" s="13"/>
      <c r="G96" s="13"/>
      <c r="H96" s="13"/>
      <c r="I96" s="198"/>
      <c r="J96" s="13"/>
      <c r="K96" s="13"/>
      <c r="L96" s="13"/>
    </row>
    <row r="97" spans="1:12" x14ac:dyDescent="0.4">
      <c r="A97" s="200"/>
      <c r="B97" s="181"/>
      <c r="C97" s="181"/>
      <c r="D97" s="180"/>
      <c r="E97" s="180"/>
      <c r="F97" s="180"/>
      <c r="G97" s="180"/>
      <c r="H97" s="180"/>
      <c r="I97" s="181"/>
      <c r="J97" s="13"/>
      <c r="K97" s="13"/>
      <c r="L97" s="13"/>
    </row>
    <row r="98" spans="1:12" x14ac:dyDescent="0.4">
      <c r="A98" s="200"/>
      <c r="B98" s="181"/>
      <c r="C98" s="181"/>
      <c r="D98" s="180"/>
      <c r="E98" s="180"/>
      <c r="F98" s="180"/>
      <c r="G98" s="180"/>
      <c r="H98" s="180"/>
      <c r="I98" s="181"/>
      <c r="J98" s="13"/>
      <c r="K98" s="13"/>
      <c r="L98" s="13"/>
    </row>
    <row r="99" spans="1:12" x14ac:dyDescent="0.4">
      <c r="A99" s="200"/>
      <c r="B99" s="181"/>
      <c r="C99" s="181"/>
      <c r="D99" s="180"/>
      <c r="E99" s="180"/>
      <c r="F99" s="180"/>
      <c r="G99" s="180"/>
      <c r="H99" s="180"/>
      <c r="I99" s="181"/>
      <c r="J99" s="13"/>
      <c r="K99" s="13"/>
      <c r="L99" s="13"/>
    </row>
    <row r="100" spans="1:12" x14ac:dyDescent="0.4">
      <c r="C100" s="181"/>
      <c r="D100" s="180"/>
      <c r="E100" s="180"/>
      <c r="F100" s="180"/>
      <c r="G100" s="180"/>
      <c r="H100" s="180"/>
      <c r="I100" s="181"/>
      <c r="J100" s="13"/>
      <c r="K100" s="13"/>
      <c r="L100" s="13"/>
    </row>
    <row r="101" spans="1:12" x14ac:dyDescent="0.4">
      <c r="A101" s="180"/>
      <c r="B101" s="194" t="s">
        <v>145</v>
      </c>
      <c r="C101" s="180"/>
      <c r="D101" s="194"/>
      <c r="E101" s="180"/>
      <c r="G101" s="194"/>
      <c r="H101" s="194" t="s">
        <v>145</v>
      </c>
      <c r="I101" s="180"/>
      <c r="J101" s="180"/>
      <c r="K101" s="180"/>
      <c r="L101" s="180"/>
    </row>
    <row r="102" spans="1:12" ht="9" customHeight="1" x14ac:dyDescent="0.4">
      <c r="A102" s="289"/>
      <c r="B102" s="289"/>
      <c r="C102" s="289"/>
      <c r="D102" s="289"/>
      <c r="E102" s="289"/>
      <c r="F102" s="289"/>
      <c r="G102" s="289"/>
      <c r="H102" s="289"/>
      <c r="I102" s="289"/>
      <c r="J102" s="289"/>
      <c r="K102" s="289"/>
      <c r="L102" s="289"/>
    </row>
    <row r="103" spans="1:12" x14ac:dyDescent="0.4">
      <c r="B103" s="194"/>
      <c r="C103" s="180"/>
      <c r="D103" s="194"/>
      <c r="E103" s="194"/>
      <c r="F103" s="194"/>
      <c r="G103" s="194"/>
      <c r="H103" s="180"/>
      <c r="I103" s="194"/>
      <c r="J103" s="194"/>
      <c r="K103" s="194"/>
      <c r="L103" s="194"/>
    </row>
    <row r="104" spans="1:12" x14ac:dyDescent="0.4">
      <c r="A104" s="194"/>
      <c r="B104" s="195"/>
      <c r="C104" s="180"/>
      <c r="D104" s="180"/>
      <c r="E104" s="180"/>
      <c r="F104" s="180"/>
      <c r="G104" s="180"/>
      <c r="H104" s="180"/>
      <c r="I104" s="180"/>
      <c r="J104" s="180"/>
      <c r="K104" s="180"/>
      <c r="L104" s="9"/>
    </row>
    <row r="105" spans="1:12" x14ac:dyDescent="0.4">
      <c r="A105" s="286" t="s">
        <v>131</v>
      </c>
      <c r="B105" s="286"/>
      <c r="C105" s="286"/>
      <c r="D105" s="286"/>
      <c r="E105" s="286"/>
      <c r="F105" s="286"/>
      <c r="G105" s="286"/>
      <c r="H105" s="286"/>
      <c r="I105" s="286"/>
      <c r="J105" s="286"/>
      <c r="K105" s="286"/>
      <c r="L105" s="286"/>
    </row>
    <row r="106" spans="1:12" x14ac:dyDescent="0.4">
      <c r="A106" s="286" t="s">
        <v>236</v>
      </c>
      <c r="B106" s="286"/>
      <c r="C106" s="286"/>
      <c r="D106" s="286"/>
      <c r="E106" s="286"/>
      <c r="F106" s="286"/>
      <c r="G106" s="286"/>
      <c r="H106" s="286"/>
      <c r="I106" s="286"/>
      <c r="J106" s="286"/>
      <c r="K106" s="286"/>
      <c r="L106" s="286"/>
    </row>
    <row r="107" spans="1:12" s="19" customFormat="1" ht="21.75" customHeight="1" x14ac:dyDescent="0.4">
      <c r="A107" s="286" t="str">
        <f>+A55</f>
        <v>AS AT JUNE 30, 2025</v>
      </c>
      <c r="B107" s="286"/>
      <c r="C107" s="286"/>
      <c r="D107" s="286"/>
      <c r="E107" s="286"/>
      <c r="F107" s="286"/>
      <c r="G107" s="286"/>
      <c r="H107" s="286"/>
      <c r="I107" s="286"/>
      <c r="J107" s="286"/>
      <c r="K107" s="286"/>
      <c r="L107" s="286"/>
    </row>
    <row r="108" spans="1:12" x14ac:dyDescent="0.4">
      <c r="A108" s="181"/>
      <c r="B108" s="181"/>
      <c r="C108" s="181"/>
      <c r="F108" s="287" t="s">
        <v>132</v>
      </c>
      <c r="G108" s="287"/>
      <c r="H108" s="287"/>
      <c r="I108" s="287"/>
      <c r="J108" s="287"/>
      <c r="K108" s="287"/>
      <c r="L108" s="287"/>
    </row>
    <row r="109" spans="1:12" ht="18.75" x14ac:dyDescent="0.4">
      <c r="A109" s="181"/>
      <c r="B109" s="181"/>
      <c r="C109" s="181"/>
      <c r="F109" s="288" t="s">
        <v>203</v>
      </c>
      <c r="G109" s="288"/>
      <c r="H109" s="288"/>
      <c r="I109" s="182"/>
      <c r="J109" s="288" t="s">
        <v>204</v>
      </c>
      <c r="K109" s="288"/>
      <c r="L109" s="288"/>
    </row>
    <row r="110" spans="1:12" x14ac:dyDescent="0.4">
      <c r="A110" s="181"/>
      <c r="B110" s="181"/>
      <c r="C110" s="181"/>
      <c r="D110" s="183" t="s">
        <v>133</v>
      </c>
      <c r="F110" s="186" t="str">
        <f>F58</f>
        <v>June  30, 2025</v>
      </c>
      <c r="H110" s="186" t="str">
        <f>H58</f>
        <v>December 31, 2024</v>
      </c>
      <c r="J110" s="186" t="str">
        <f>J58</f>
        <v>June  30, 2025</v>
      </c>
      <c r="K110" s="179"/>
      <c r="L110" s="186" t="str">
        <f>L58</f>
        <v>December 31, 2024</v>
      </c>
    </row>
    <row r="111" spans="1:12" x14ac:dyDescent="0.4">
      <c r="A111" s="179"/>
      <c r="B111" s="179"/>
      <c r="C111" s="179"/>
      <c r="F111" s="185" t="s">
        <v>357</v>
      </c>
      <c r="G111" s="185"/>
      <c r="H111" s="185" t="s">
        <v>359</v>
      </c>
      <c r="J111" s="185" t="s">
        <v>357</v>
      </c>
      <c r="K111" s="185"/>
      <c r="L111" s="185" t="s">
        <v>359</v>
      </c>
    </row>
    <row r="112" spans="1:12" x14ac:dyDescent="0.4">
      <c r="A112" s="179"/>
      <c r="B112" s="179"/>
      <c r="C112" s="179"/>
      <c r="F112" s="185" t="s">
        <v>358</v>
      </c>
      <c r="G112" s="185"/>
      <c r="H112" s="185"/>
      <c r="J112" s="185" t="s">
        <v>358</v>
      </c>
      <c r="K112" s="185"/>
      <c r="L112" s="185"/>
    </row>
    <row r="113" spans="1:20" x14ac:dyDescent="0.4">
      <c r="A113" s="190" t="s">
        <v>150</v>
      </c>
      <c r="B113" s="181"/>
      <c r="C113" s="181"/>
      <c r="D113" s="180"/>
      <c r="E113" s="180"/>
      <c r="F113" s="20"/>
      <c r="G113" s="20"/>
      <c r="H113" s="21"/>
      <c r="I113" s="181"/>
      <c r="J113" s="20"/>
      <c r="K113" s="20"/>
      <c r="L113" s="20"/>
    </row>
    <row r="114" spans="1:20" x14ac:dyDescent="0.4">
      <c r="A114" s="181"/>
      <c r="B114" s="181" t="s">
        <v>275</v>
      </c>
      <c r="C114" s="181"/>
      <c r="D114" s="180"/>
      <c r="E114" s="180"/>
      <c r="F114" s="189"/>
      <c r="G114" s="189"/>
      <c r="H114" s="189"/>
      <c r="I114" s="188"/>
      <c r="J114" s="16"/>
      <c r="K114" s="16"/>
      <c r="L114" s="11"/>
    </row>
    <row r="115" spans="1:20" x14ac:dyDescent="0.4">
      <c r="A115" s="181"/>
      <c r="B115" s="181" t="s">
        <v>151</v>
      </c>
      <c r="C115" s="181"/>
      <c r="D115" s="180"/>
      <c r="E115" s="180"/>
      <c r="F115" s="189"/>
      <c r="G115" s="189"/>
      <c r="H115" s="189"/>
      <c r="I115" s="188"/>
      <c r="J115" s="16"/>
      <c r="K115" s="16"/>
      <c r="L115" s="11"/>
    </row>
    <row r="116" spans="1:20" ht="18.75" thickBot="1" x14ac:dyDescent="0.45">
      <c r="A116" s="181"/>
      <c r="B116" s="181"/>
      <c r="C116" s="201" t="s">
        <v>361</v>
      </c>
      <c r="D116" s="180">
        <v>23</v>
      </c>
      <c r="E116" s="180"/>
      <c r="F116" s="202">
        <v>1657854486.8800001</v>
      </c>
      <c r="G116" s="189"/>
      <c r="H116" s="202">
        <v>1657854486.8800001</v>
      </c>
      <c r="I116" s="188"/>
      <c r="J116" s="202">
        <v>1657854486.8800001</v>
      </c>
      <c r="K116" s="189"/>
      <c r="L116" s="202">
        <v>1657854486.8800001</v>
      </c>
    </row>
    <row r="117" spans="1:20" ht="18.75" thickTop="1" x14ac:dyDescent="0.4">
      <c r="A117" s="181"/>
      <c r="B117" s="181" t="s">
        <v>190</v>
      </c>
      <c r="C117" s="181"/>
      <c r="D117" s="180"/>
      <c r="E117" s="180"/>
      <c r="F117" s="189"/>
      <c r="G117" s="189"/>
      <c r="H117" s="189"/>
      <c r="I117" s="188"/>
      <c r="J117" s="11"/>
      <c r="K117" s="11"/>
      <c r="L117" s="11"/>
    </row>
    <row r="118" spans="1:20" x14ac:dyDescent="0.4">
      <c r="A118" s="181"/>
      <c r="B118" s="181"/>
      <c r="C118" s="201" t="s">
        <v>362</v>
      </c>
      <c r="D118" s="180">
        <v>23</v>
      </c>
      <c r="E118" s="180"/>
      <c r="F118" s="11">
        <f>'Changed-Conso'!D34</f>
        <v>1350102558.8800001</v>
      </c>
      <c r="G118" s="11"/>
      <c r="H118" s="11">
        <v>1350102558.8800001</v>
      </c>
      <c r="I118" s="11"/>
      <c r="J118" s="11">
        <f>'Changed-Com'!D33</f>
        <v>1350102558.8800001</v>
      </c>
      <c r="K118" s="11"/>
      <c r="L118" s="11">
        <v>1350102558.8800001</v>
      </c>
    </row>
    <row r="119" spans="1:20" x14ac:dyDescent="0.4">
      <c r="A119" s="181"/>
      <c r="B119" s="181" t="s">
        <v>276</v>
      </c>
      <c r="C119" s="203"/>
      <c r="D119" s="180">
        <v>23</v>
      </c>
      <c r="E119" s="180"/>
      <c r="F119" s="11">
        <f>'Changed-Conso'!H34</f>
        <v>1344904738.7199998</v>
      </c>
      <c r="G119" s="11"/>
      <c r="H119" s="11">
        <v>1344904738.7199998</v>
      </c>
      <c r="I119" s="188"/>
      <c r="J119" s="11">
        <f>'Changed-Com'!H33</f>
        <v>1344904738.7199998</v>
      </c>
      <c r="K119" s="11"/>
      <c r="L119" s="11">
        <v>1344904738.7199998</v>
      </c>
    </row>
    <row r="120" spans="1:20" x14ac:dyDescent="0.4">
      <c r="A120" s="181"/>
      <c r="B120" s="181" t="s">
        <v>152</v>
      </c>
      <c r="C120" s="181"/>
      <c r="D120" s="180"/>
      <c r="E120" s="180"/>
      <c r="F120" s="11"/>
      <c r="G120" s="11"/>
      <c r="H120" s="189"/>
      <c r="I120" s="188"/>
      <c r="J120" s="11"/>
      <c r="K120" s="11"/>
      <c r="L120" s="11"/>
    </row>
    <row r="121" spans="1:20" x14ac:dyDescent="0.4">
      <c r="A121" s="181"/>
      <c r="B121" s="181"/>
      <c r="C121" s="181" t="s">
        <v>153</v>
      </c>
      <c r="D121" s="180"/>
      <c r="E121" s="180"/>
      <c r="F121" s="134">
        <f>'Changed-Conso'!L34</f>
        <v>111952161.69</v>
      </c>
      <c r="G121" s="134"/>
      <c r="H121" s="134">
        <v>111952161.69</v>
      </c>
      <c r="I121" s="188"/>
      <c r="J121" s="134">
        <f>'Changed-Com'!R33</f>
        <v>111952161.69</v>
      </c>
      <c r="K121" s="134"/>
      <c r="L121" s="134">
        <v>111952161.69</v>
      </c>
    </row>
    <row r="122" spans="1:20" x14ac:dyDescent="0.4">
      <c r="A122" s="181"/>
      <c r="B122" s="181"/>
      <c r="C122" s="181" t="s">
        <v>154</v>
      </c>
      <c r="D122" s="204"/>
      <c r="E122" s="180"/>
      <c r="F122" s="16">
        <f>'Changed-Conso'!N34</f>
        <v>221757617.4000003</v>
      </c>
      <c r="G122" s="16"/>
      <c r="H122" s="189">
        <v>822100957.76000035</v>
      </c>
      <c r="I122" s="188"/>
      <c r="J122" s="16">
        <f>'Changed-Com'!T33</f>
        <v>215380107.33000013</v>
      </c>
      <c r="K122" s="16"/>
      <c r="L122" s="16">
        <v>584721503.51000011</v>
      </c>
    </row>
    <row r="123" spans="1:20" x14ac:dyDescent="0.4">
      <c r="A123" s="181"/>
      <c r="B123" s="181" t="s">
        <v>227</v>
      </c>
      <c r="D123" s="178"/>
      <c r="E123" s="178"/>
      <c r="F123" s="131">
        <f>'Changed-Conso'!T34</f>
        <v>-19835060.564690098</v>
      </c>
      <c r="G123" s="16"/>
      <c r="H123" s="131">
        <v>6366700.7300000014</v>
      </c>
      <c r="I123" s="188"/>
      <c r="J123" s="131">
        <v>0</v>
      </c>
      <c r="K123" s="16"/>
      <c r="L123" s="131">
        <v>0</v>
      </c>
    </row>
    <row r="124" spans="1:20" x14ac:dyDescent="0.4">
      <c r="A124" s="181"/>
      <c r="B124" s="181"/>
      <c r="C124" s="181" t="s">
        <v>261</v>
      </c>
      <c r="D124" s="180"/>
      <c r="E124" s="180"/>
      <c r="F124" s="11">
        <f>SUM(F118:F123)</f>
        <v>3008882016.1253099</v>
      </c>
      <c r="G124" s="11"/>
      <c r="H124" s="11">
        <f>SUM(H118:H123)</f>
        <v>3635427117.7800002</v>
      </c>
      <c r="I124" s="188"/>
      <c r="J124" s="11">
        <f>SUM(J118:J123)</f>
        <v>3022339566.6199999</v>
      </c>
      <c r="K124" s="11"/>
      <c r="L124" s="11">
        <f>SUM(L118:L123)</f>
        <v>3391680962.8000002</v>
      </c>
    </row>
    <row r="125" spans="1:20" x14ac:dyDescent="0.4">
      <c r="A125" s="181"/>
      <c r="B125" s="181" t="s">
        <v>231</v>
      </c>
      <c r="C125" s="181"/>
      <c r="D125" s="180"/>
      <c r="E125" s="180"/>
      <c r="F125" s="205">
        <f>'Changed-Conso'!X34</f>
        <v>61918172.390000001</v>
      </c>
      <c r="G125" s="189"/>
      <c r="H125" s="205">
        <v>62140406.899999999</v>
      </c>
      <c r="I125" s="188"/>
      <c r="J125" s="131">
        <v>0</v>
      </c>
      <c r="K125" s="16"/>
      <c r="L125" s="131">
        <v>0</v>
      </c>
    </row>
    <row r="126" spans="1:20" x14ac:dyDescent="0.4">
      <c r="A126" s="181"/>
      <c r="B126" s="181"/>
      <c r="C126" s="181" t="s">
        <v>262</v>
      </c>
      <c r="D126" s="180"/>
      <c r="E126" s="180"/>
      <c r="F126" s="11">
        <f>+F125+F124</f>
        <v>3070800188.5153098</v>
      </c>
      <c r="G126" s="11"/>
      <c r="H126" s="11">
        <f>+H125+H124</f>
        <v>3697567524.6800003</v>
      </c>
      <c r="I126" s="188"/>
      <c r="J126" s="11">
        <f>+J125+J124</f>
        <v>3022339566.6199999</v>
      </c>
      <c r="K126" s="11"/>
      <c r="L126" s="11">
        <f>+L125+L124</f>
        <v>3391680962.8000002</v>
      </c>
    </row>
    <row r="127" spans="1:20" ht="18.75" thickBot="1" x14ac:dyDescent="0.45">
      <c r="A127" s="198" t="s">
        <v>155</v>
      </c>
      <c r="B127" s="181"/>
      <c r="C127" s="181"/>
      <c r="D127" s="180"/>
      <c r="E127" s="180"/>
      <c r="F127" s="135">
        <f>+F126+F82</f>
        <v>3767783779.3953099</v>
      </c>
      <c r="G127" s="16"/>
      <c r="H127" s="135">
        <f>+H126+H82</f>
        <v>4001470372.5100002</v>
      </c>
      <c r="I127" s="188"/>
      <c r="J127" s="135">
        <f>+J126+J82</f>
        <v>3724777430.9499998</v>
      </c>
      <c r="K127" s="16"/>
      <c r="L127" s="135">
        <f>+L126+L82</f>
        <v>3701036601.9400001</v>
      </c>
      <c r="N127" s="206">
        <f>F127-F44</f>
        <v>0</v>
      </c>
      <c r="P127" s="206" t="e">
        <f>#REF!-#REF!</f>
        <v>#REF!</v>
      </c>
      <c r="R127" s="206">
        <f>J127-J44</f>
        <v>0</v>
      </c>
      <c r="T127" s="206" t="e">
        <f>#REF!-#REF!</f>
        <v>#REF!</v>
      </c>
    </row>
    <row r="128" spans="1:20" ht="18.75" thickTop="1" x14ac:dyDescent="0.4">
      <c r="A128" s="181"/>
      <c r="F128" s="207"/>
      <c r="G128" s="207"/>
      <c r="H128" s="207"/>
      <c r="I128" s="199"/>
      <c r="J128" s="4"/>
      <c r="K128" s="4"/>
      <c r="L128" s="4"/>
    </row>
    <row r="129" spans="1:12" x14ac:dyDescent="0.4">
      <c r="A129" s="193" t="s">
        <v>360</v>
      </c>
      <c r="B129" s="181"/>
      <c r="C129" s="181"/>
      <c r="D129" s="180"/>
      <c r="E129" s="180"/>
      <c r="F129" s="16"/>
      <c r="G129" s="16"/>
      <c r="H129" s="16"/>
      <c r="I129" s="188"/>
      <c r="J129" s="16"/>
      <c r="K129" s="16"/>
      <c r="L129" s="16"/>
    </row>
    <row r="130" spans="1:12" x14ac:dyDescent="0.4">
      <c r="A130" s="181"/>
      <c r="B130" s="181"/>
      <c r="C130" s="181"/>
      <c r="D130" s="180"/>
      <c r="E130" s="180"/>
      <c r="F130" s="13"/>
      <c r="G130" s="13"/>
      <c r="H130" s="13"/>
      <c r="I130" s="181"/>
      <c r="J130" s="13"/>
      <c r="K130" s="13"/>
      <c r="L130" s="13"/>
    </row>
    <row r="131" spans="1:12" x14ac:dyDescent="0.4">
      <c r="A131" s="181"/>
      <c r="B131" s="181"/>
      <c r="C131" s="181"/>
      <c r="D131" s="180"/>
      <c r="E131" s="180"/>
      <c r="F131" s="13"/>
      <c r="G131" s="13"/>
      <c r="H131" s="13"/>
      <c r="I131" s="181"/>
      <c r="J131" s="13"/>
      <c r="K131" s="13"/>
      <c r="L131" s="13"/>
    </row>
    <row r="132" spans="1:12" x14ac:dyDescent="0.4">
      <c r="A132" s="181"/>
      <c r="B132" s="181"/>
      <c r="C132" s="181"/>
      <c r="D132" s="180"/>
      <c r="E132" s="180"/>
      <c r="F132" s="13"/>
      <c r="G132" s="13"/>
      <c r="H132" s="13"/>
      <c r="I132" s="181"/>
      <c r="J132" s="13"/>
      <c r="K132" s="13"/>
      <c r="L132" s="13"/>
    </row>
    <row r="133" spans="1:12" x14ac:dyDescent="0.4">
      <c r="A133" s="181"/>
      <c r="B133" s="181"/>
      <c r="C133" s="181"/>
      <c r="D133" s="180"/>
      <c r="E133" s="180"/>
      <c r="F133" s="13"/>
      <c r="G133" s="13"/>
      <c r="H133" s="13"/>
      <c r="I133" s="181"/>
      <c r="J133" s="13"/>
      <c r="K133" s="13"/>
      <c r="L133" s="13"/>
    </row>
    <row r="134" spans="1:12" x14ac:dyDescent="0.4">
      <c r="A134" s="181"/>
      <c r="B134" s="181"/>
      <c r="C134" s="181"/>
      <c r="D134" s="180"/>
      <c r="E134" s="180"/>
      <c r="F134" s="13"/>
      <c r="G134" s="13"/>
      <c r="H134" s="13"/>
      <c r="I134" s="181"/>
      <c r="J134" s="13"/>
      <c r="K134" s="13"/>
      <c r="L134" s="13"/>
    </row>
    <row r="135" spans="1:12" x14ac:dyDescent="0.4">
      <c r="A135" s="181"/>
      <c r="B135" s="181"/>
      <c r="C135" s="181"/>
      <c r="D135" s="180"/>
      <c r="E135" s="180"/>
      <c r="F135" s="13"/>
      <c r="G135" s="13"/>
      <c r="H135" s="13"/>
      <c r="I135" s="181"/>
      <c r="J135" s="13"/>
      <c r="K135" s="13"/>
      <c r="L135" s="13"/>
    </row>
    <row r="136" spans="1:12" x14ac:dyDescent="0.4">
      <c r="A136" s="181"/>
      <c r="B136" s="181"/>
      <c r="C136" s="181"/>
      <c r="D136" s="180"/>
      <c r="E136" s="180"/>
      <c r="F136" s="13"/>
      <c r="G136" s="13"/>
      <c r="H136" s="13"/>
      <c r="I136" s="181"/>
      <c r="J136" s="13"/>
      <c r="K136" s="13"/>
      <c r="L136" s="13"/>
    </row>
    <row r="137" spans="1:12" x14ac:dyDescent="0.4">
      <c r="A137" s="181"/>
      <c r="B137" s="181"/>
      <c r="C137" s="181"/>
      <c r="D137" s="180"/>
      <c r="E137" s="180"/>
      <c r="F137" s="13"/>
      <c r="G137" s="13"/>
      <c r="H137" s="13"/>
      <c r="I137" s="181"/>
      <c r="J137" s="13"/>
      <c r="K137" s="13"/>
      <c r="L137" s="13"/>
    </row>
    <row r="138" spans="1:12" x14ac:dyDescent="0.4">
      <c r="B138" s="181"/>
      <c r="C138" s="181"/>
      <c r="D138" s="180"/>
      <c r="E138" s="180"/>
      <c r="F138" s="180"/>
      <c r="G138" s="180"/>
      <c r="H138" s="180"/>
      <c r="I138" s="181"/>
      <c r="J138" s="13"/>
      <c r="K138" s="13"/>
      <c r="L138" s="13"/>
    </row>
    <row r="139" spans="1:12" x14ac:dyDescent="0.4">
      <c r="B139" s="181"/>
      <c r="C139" s="181"/>
      <c r="D139" s="180"/>
      <c r="E139" s="180"/>
      <c r="F139" s="180"/>
      <c r="G139" s="180"/>
      <c r="H139" s="180"/>
      <c r="I139" s="181"/>
      <c r="J139" s="13"/>
      <c r="K139" s="13"/>
      <c r="L139" s="13"/>
    </row>
    <row r="140" spans="1:12" x14ac:dyDescent="0.4">
      <c r="B140" s="181"/>
      <c r="C140" s="181"/>
      <c r="D140" s="180"/>
      <c r="E140" s="180"/>
      <c r="F140" s="180"/>
      <c r="G140" s="180"/>
      <c r="H140" s="180"/>
      <c r="I140" s="181"/>
      <c r="J140" s="13"/>
      <c r="K140" s="13"/>
      <c r="L140" s="13"/>
    </row>
    <row r="141" spans="1:12" x14ac:dyDescent="0.4">
      <c r="B141" s="181"/>
      <c r="C141" s="181"/>
      <c r="D141" s="180"/>
      <c r="E141" s="180"/>
      <c r="F141" s="180"/>
      <c r="G141" s="180"/>
      <c r="H141" s="180"/>
      <c r="I141" s="181"/>
      <c r="J141" s="13"/>
      <c r="K141" s="13"/>
      <c r="L141" s="13"/>
    </row>
    <row r="142" spans="1:12" x14ac:dyDescent="0.4">
      <c r="A142" s="200"/>
      <c r="B142" s="181"/>
      <c r="C142" s="181"/>
      <c r="D142" s="180"/>
      <c r="E142" s="180"/>
      <c r="F142" s="180"/>
      <c r="G142" s="180"/>
      <c r="H142" s="180"/>
      <c r="I142" s="181"/>
      <c r="J142" s="13"/>
      <c r="K142" s="13"/>
      <c r="L142" s="13"/>
    </row>
    <row r="143" spans="1:12" x14ac:dyDescent="0.4">
      <c r="A143" s="200"/>
      <c r="B143" s="181"/>
      <c r="C143" s="181"/>
      <c r="D143" s="180"/>
      <c r="E143" s="180"/>
      <c r="F143" s="180"/>
      <c r="G143" s="180"/>
      <c r="H143" s="180"/>
      <c r="I143" s="181"/>
      <c r="J143" s="13"/>
      <c r="K143" s="13"/>
      <c r="L143" s="13"/>
    </row>
    <row r="144" spans="1:12" x14ac:dyDescent="0.4">
      <c r="A144" s="200"/>
      <c r="B144" s="181"/>
      <c r="C144" s="181"/>
      <c r="D144" s="180"/>
      <c r="E144" s="180"/>
      <c r="F144" s="180"/>
      <c r="G144" s="180"/>
      <c r="H144" s="180"/>
      <c r="I144" s="181"/>
      <c r="J144" s="13"/>
      <c r="K144" s="13"/>
      <c r="L144" s="13"/>
    </row>
    <row r="145" spans="1:12" x14ac:dyDescent="0.4">
      <c r="A145" s="200"/>
      <c r="B145" s="181"/>
      <c r="C145" s="181"/>
      <c r="D145" s="180"/>
      <c r="E145" s="180"/>
      <c r="F145" s="180"/>
      <c r="G145" s="180"/>
      <c r="H145" s="180"/>
      <c r="I145" s="181"/>
      <c r="J145" s="13"/>
      <c r="K145" s="13"/>
      <c r="L145" s="13"/>
    </row>
    <row r="146" spans="1:12" x14ac:dyDescent="0.4">
      <c r="A146" s="200"/>
      <c r="B146" s="181"/>
      <c r="C146" s="181"/>
      <c r="D146" s="180"/>
      <c r="E146" s="180"/>
      <c r="F146" s="180"/>
      <c r="G146" s="180"/>
      <c r="H146" s="180"/>
      <c r="I146" s="181"/>
      <c r="J146" s="13"/>
      <c r="K146" s="13"/>
      <c r="L146" s="13"/>
    </row>
    <row r="147" spans="1:12" x14ac:dyDescent="0.4">
      <c r="A147" s="200"/>
      <c r="B147" s="181"/>
      <c r="C147" s="181"/>
      <c r="D147" s="180"/>
      <c r="E147" s="180"/>
      <c r="F147" s="180"/>
      <c r="G147" s="180"/>
      <c r="H147" s="180"/>
      <c r="I147" s="181"/>
      <c r="J147" s="13"/>
      <c r="K147" s="13"/>
      <c r="L147" s="13"/>
    </row>
    <row r="148" spans="1:12" x14ac:dyDescent="0.4">
      <c r="C148" s="181"/>
      <c r="D148" s="180"/>
      <c r="E148" s="180"/>
      <c r="F148" s="180"/>
      <c r="G148" s="180"/>
      <c r="H148" s="180"/>
      <c r="I148" s="181"/>
      <c r="J148" s="13"/>
      <c r="K148" s="13"/>
      <c r="L148" s="13"/>
    </row>
    <row r="149" spans="1:12" x14ac:dyDescent="0.4">
      <c r="A149" s="180"/>
      <c r="B149" s="194" t="s">
        <v>145</v>
      </c>
      <c r="C149" s="180"/>
      <c r="D149" s="194"/>
      <c r="E149" s="180"/>
      <c r="G149" s="194"/>
      <c r="H149" s="194" t="s">
        <v>145</v>
      </c>
      <c r="I149" s="180"/>
      <c r="J149" s="180"/>
      <c r="K149" s="180"/>
      <c r="L149" s="180"/>
    </row>
    <row r="150" spans="1:12" ht="5.25" customHeight="1" x14ac:dyDescent="0.4">
      <c r="A150" s="289"/>
      <c r="B150" s="289"/>
      <c r="C150" s="289"/>
      <c r="D150" s="289"/>
      <c r="E150" s="289"/>
      <c r="F150" s="289"/>
      <c r="G150" s="289"/>
      <c r="H150" s="289"/>
      <c r="I150" s="289"/>
      <c r="J150" s="289"/>
      <c r="K150" s="289"/>
      <c r="L150" s="289"/>
    </row>
    <row r="151" spans="1:12" x14ac:dyDescent="0.4">
      <c r="A151" s="181"/>
      <c r="B151" s="181"/>
      <c r="C151" s="181"/>
      <c r="D151" s="208" t="s">
        <v>242</v>
      </c>
      <c r="E151" s="180"/>
      <c r="F151" s="16">
        <f>+F127-F44</f>
        <v>0</v>
      </c>
      <c r="G151" s="16"/>
      <c r="H151" s="16">
        <f>+H127-H44</f>
        <v>0</v>
      </c>
      <c r="I151" s="181"/>
      <c r="J151" s="16">
        <f>+J127-J44</f>
        <v>0</v>
      </c>
      <c r="K151" s="16"/>
      <c r="L151" s="16">
        <f>+L127-L44</f>
        <v>0</v>
      </c>
    </row>
  </sheetData>
  <mergeCells count="23">
    <mergeCell ref="A3:L3"/>
    <mergeCell ref="A4:L4"/>
    <mergeCell ref="A5:L5"/>
    <mergeCell ref="F6:L6"/>
    <mergeCell ref="F7:H7"/>
    <mergeCell ref="J7:L7"/>
    <mergeCell ref="A106:L106"/>
    <mergeCell ref="A11:C11"/>
    <mergeCell ref="A50:L50"/>
    <mergeCell ref="A53:L53"/>
    <mergeCell ref="A54:L54"/>
    <mergeCell ref="A55:L55"/>
    <mergeCell ref="F56:L56"/>
    <mergeCell ref="F57:H57"/>
    <mergeCell ref="J57:L57"/>
    <mergeCell ref="A61:C61"/>
    <mergeCell ref="A102:L102"/>
    <mergeCell ref="A105:L105"/>
    <mergeCell ref="A107:L107"/>
    <mergeCell ref="F108:L108"/>
    <mergeCell ref="F109:H109"/>
    <mergeCell ref="J109:L109"/>
    <mergeCell ref="A150:L150"/>
  </mergeCells>
  <pageMargins left="0.78740157480314965" right="0" top="0.51181102362204722" bottom="0.27559055118110237" header="0.35433070866141736" footer="0"/>
  <pageSetup paperSize="9" scale="93" orientation="portrait" useFirstPageNumber="1" r:id="rId1"/>
  <headerFooter alignWithMargins="0">
    <oddFooter>&amp;C&amp;P</oddFooter>
  </headerFooter>
  <rowBreaks count="2" manualBreakCount="2">
    <brk id="50" max="15" man="1"/>
    <brk id="10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C2830-40E2-4390-81FA-94DC3095FA5B}">
  <sheetPr codeName="Sheet2">
    <pageSetUpPr fitToPage="1"/>
  </sheetPr>
  <dimension ref="A1:AD41"/>
  <sheetViews>
    <sheetView view="pageBreakPreview" zoomScaleNormal="100" zoomScaleSheetLayoutView="100" workbookViewId="0">
      <selection activeCell="H156" sqref="H156"/>
    </sheetView>
  </sheetViews>
  <sheetFormatPr defaultColWidth="9.140625" defaultRowHeight="18" x14ac:dyDescent="0.4"/>
  <cols>
    <col min="1" max="1" width="35.140625" style="181" customWidth="1"/>
    <col min="2" max="2" width="5.140625" style="181" customWidth="1"/>
    <col min="3" max="3" width="1.140625" style="181" customWidth="1"/>
    <col min="4" max="4" width="13.140625" style="181" customWidth="1"/>
    <col min="5" max="5" width="1.140625" style="181" customWidth="1"/>
    <col min="6" max="6" width="10.85546875" style="181" hidden="1" customWidth="1"/>
    <col min="7" max="7" width="1.140625" style="181" hidden="1" customWidth="1"/>
    <col min="8" max="8" width="12.42578125" style="181" bestFit="1" customWidth="1"/>
    <col min="9" max="9" width="1.140625" style="181" hidden="1" customWidth="1"/>
    <col min="10" max="10" width="11.85546875" style="181" hidden="1" customWidth="1"/>
    <col min="11" max="11" width="0.85546875" style="181" customWidth="1"/>
    <col min="12" max="12" width="11.85546875" style="181" customWidth="1"/>
    <col min="13" max="13" width="1" style="181" customWidth="1"/>
    <col min="14" max="14" width="12.85546875" style="181" customWidth="1"/>
    <col min="15" max="15" width="1" style="181" customWidth="1"/>
    <col min="16" max="16" width="13.42578125" style="181" customWidth="1"/>
    <col min="17" max="17" width="1" style="181" customWidth="1"/>
    <col min="18" max="18" width="11.85546875" style="181" customWidth="1"/>
    <col min="19" max="19" width="1" style="181" customWidth="1"/>
    <col min="20" max="20" width="12.85546875" style="181" customWidth="1"/>
    <col min="21" max="21" width="1.140625" style="181" customWidth="1"/>
    <col min="22" max="22" width="12.85546875" style="181" bestFit="1" customWidth="1"/>
    <col min="23" max="23" width="1.140625" style="181" customWidth="1"/>
    <col min="24" max="24" width="11.85546875" style="181" bestFit="1" customWidth="1"/>
    <col min="25" max="25" width="1.140625" style="181" customWidth="1"/>
    <col min="26" max="26" width="12.85546875" style="181" bestFit="1" customWidth="1"/>
    <col min="27" max="27" width="11.140625" style="181" hidden="1" customWidth="1"/>
    <col min="28" max="28" width="12.42578125" style="181" bestFit="1" customWidth="1"/>
    <col min="29" max="29" width="16.85546875" style="181" customWidth="1"/>
    <col min="30" max="16384" width="9.140625" style="181"/>
  </cols>
  <sheetData>
    <row r="1" spans="1:29" ht="21.75" customHeight="1" x14ac:dyDescent="0.4">
      <c r="A1" s="178"/>
      <c r="X1" s="294" t="s">
        <v>312</v>
      </c>
      <c r="Y1" s="294"/>
      <c r="Z1" s="294"/>
    </row>
    <row r="2" spans="1:29" x14ac:dyDescent="0.4">
      <c r="A2" s="295" t="s">
        <v>131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</row>
    <row r="3" spans="1:29" x14ac:dyDescent="0.4">
      <c r="A3" s="295" t="s">
        <v>256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198"/>
      <c r="AB3" s="198"/>
    </row>
    <row r="4" spans="1:29" ht="18" customHeight="1" x14ac:dyDescent="0.4">
      <c r="A4" s="295" t="s">
        <v>205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</row>
    <row r="5" spans="1:29" x14ac:dyDescent="0.4">
      <c r="A5" s="295" t="s">
        <v>377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</row>
    <row r="6" spans="1:29" ht="7.5" customHeight="1" x14ac:dyDescent="0.4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</row>
    <row r="7" spans="1:29" x14ac:dyDescent="0.4">
      <c r="A7" s="21"/>
      <c r="B7" s="187"/>
      <c r="C7" s="187"/>
      <c r="D7" s="296" t="s">
        <v>164</v>
      </c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296"/>
      <c r="W7" s="296"/>
      <c r="X7" s="296"/>
      <c r="Y7" s="296"/>
      <c r="Z7" s="296"/>
    </row>
    <row r="8" spans="1:29" x14ac:dyDescent="0.4">
      <c r="A8" s="21"/>
      <c r="B8" s="187"/>
      <c r="C8" s="187"/>
      <c r="D8" s="16"/>
      <c r="E8" s="16"/>
      <c r="F8" s="209"/>
      <c r="G8" s="209"/>
      <c r="H8" s="209"/>
      <c r="I8" s="16"/>
      <c r="J8" s="16"/>
      <c r="K8" s="16"/>
      <c r="L8" s="292" t="s">
        <v>152</v>
      </c>
      <c r="M8" s="292"/>
      <c r="N8" s="292"/>
      <c r="O8" s="11"/>
      <c r="P8" s="293" t="s">
        <v>227</v>
      </c>
      <c r="Q8" s="293"/>
      <c r="R8" s="293"/>
      <c r="S8" s="293"/>
      <c r="T8" s="293"/>
      <c r="U8" s="187"/>
      <c r="V8" s="210"/>
      <c r="W8" s="211"/>
      <c r="X8" s="129"/>
    </row>
    <row r="9" spans="1:29" x14ac:dyDescent="0.4">
      <c r="D9" s="209"/>
      <c r="E9" s="11"/>
      <c r="F9" s="209"/>
      <c r="G9" s="209"/>
      <c r="H9" s="209"/>
      <c r="I9" s="11"/>
      <c r="J9" s="23" t="s">
        <v>279</v>
      </c>
      <c r="K9" s="11"/>
      <c r="O9" s="23"/>
      <c r="P9" s="23"/>
      <c r="Q9" s="23"/>
      <c r="R9" s="26" t="s">
        <v>293</v>
      </c>
      <c r="S9" s="26"/>
      <c r="T9" s="25"/>
      <c r="U9" s="11"/>
      <c r="V9" s="180" t="s">
        <v>254</v>
      </c>
      <c r="W9" s="25"/>
    </row>
    <row r="10" spans="1:29" x14ac:dyDescent="0.4">
      <c r="B10" s="180"/>
      <c r="D10" s="23" t="s">
        <v>201</v>
      </c>
      <c r="E10" s="23"/>
      <c r="F10" s="23"/>
      <c r="G10" s="23"/>
      <c r="H10" s="23" t="s">
        <v>277</v>
      </c>
      <c r="I10" s="23"/>
      <c r="J10" s="23" t="s">
        <v>280</v>
      </c>
      <c r="K10" s="23"/>
      <c r="L10" s="23"/>
      <c r="M10" s="23"/>
      <c r="N10" s="23"/>
      <c r="O10" s="23"/>
      <c r="P10" s="23" t="s">
        <v>168</v>
      </c>
      <c r="Q10" s="23"/>
      <c r="R10" s="26" t="s">
        <v>294</v>
      </c>
      <c r="S10" s="26"/>
      <c r="T10" s="25" t="s">
        <v>229</v>
      </c>
      <c r="U10" s="11"/>
      <c r="V10" s="187" t="s">
        <v>253</v>
      </c>
      <c r="W10" s="25"/>
      <c r="X10" s="25" t="s">
        <v>225</v>
      </c>
    </row>
    <row r="11" spans="1:29" x14ac:dyDescent="0.4">
      <c r="B11" s="180"/>
      <c r="D11" s="23" t="s">
        <v>165</v>
      </c>
      <c r="E11" s="23"/>
      <c r="F11" s="23"/>
      <c r="G11" s="23"/>
      <c r="H11" s="23" t="s">
        <v>278</v>
      </c>
      <c r="I11" s="23"/>
      <c r="J11" s="23" t="s">
        <v>281</v>
      </c>
      <c r="K11" s="23"/>
      <c r="L11" s="23" t="s">
        <v>172</v>
      </c>
      <c r="M11" s="23"/>
      <c r="N11" s="23"/>
      <c r="O11" s="23"/>
      <c r="P11" s="23" t="s">
        <v>169</v>
      </c>
      <c r="Q11" s="23"/>
      <c r="R11" s="26" t="s">
        <v>295</v>
      </c>
      <c r="S11" s="26"/>
      <c r="T11" s="23" t="s">
        <v>230</v>
      </c>
      <c r="U11" s="11"/>
      <c r="V11" s="187" t="s">
        <v>218</v>
      </c>
      <c r="W11" s="25"/>
      <c r="X11" s="25" t="s">
        <v>226</v>
      </c>
    </row>
    <row r="12" spans="1:29" x14ac:dyDescent="0.4">
      <c r="B12" s="212" t="s">
        <v>217</v>
      </c>
      <c r="D12" s="146" t="s">
        <v>166</v>
      </c>
      <c r="E12" s="146"/>
      <c r="F12" s="146" t="s">
        <v>243</v>
      </c>
      <c r="G12" s="146"/>
      <c r="H12" s="146" t="s">
        <v>167</v>
      </c>
      <c r="I12" s="146"/>
      <c r="J12" s="146" t="s">
        <v>282</v>
      </c>
      <c r="K12" s="146"/>
      <c r="L12" s="146" t="s">
        <v>173</v>
      </c>
      <c r="M12" s="146"/>
      <c r="N12" s="146" t="s">
        <v>154</v>
      </c>
      <c r="O12" s="26"/>
      <c r="P12" s="146" t="s">
        <v>170</v>
      </c>
      <c r="Q12" s="26"/>
      <c r="R12" s="146" t="s">
        <v>296</v>
      </c>
      <c r="S12" s="26"/>
      <c r="T12" s="146" t="s">
        <v>228</v>
      </c>
      <c r="U12" s="11"/>
      <c r="V12" s="213" t="s">
        <v>219</v>
      </c>
      <c r="W12" s="25"/>
      <c r="X12" s="145" t="s">
        <v>247</v>
      </c>
      <c r="Z12" s="145" t="s">
        <v>174</v>
      </c>
      <c r="AC12" s="26"/>
    </row>
    <row r="13" spans="1:29" x14ac:dyDescent="0.4">
      <c r="C13" s="26"/>
      <c r="D13" s="188"/>
      <c r="E13" s="188"/>
      <c r="F13" s="188"/>
      <c r="G13" s="188"/>
      <c r="H13" s="188"/>
      <c r="I13" s="188"/>
      <c r="J13" s="188"/>
      <c r="K13" s="188"/>
      <c r="L13" s="26"/>
      <c r="M13" s="26"/>
      <c r="N13" s="138"/>
      <c r="O13" s="188"/>
      <c r="P13" s="188"/>
      <c r="Q13" s="188"/>
      <c r="R13" s="26"/>
      <c r="S13" s="26"/>
      <c r="T13" s="26"/>
      <c r="U13" s="188"/>
      <c r="V13" s="26"/>
      <c r="W13" s="26"/>
      <c r="X13" s="26"/>
      <c r="Y13" s="188"/>
      <c r="Z13" s="138"/>
    </row>
    <row r="14" spans="1:29" x14ac:dyDescent="0.4">
      <c r="A14" s="181" t="s">
        <v>319</v>
      </c>
      <c r="D14" s="16">
        <v>1164401069.76</v>
      </c>
      <c r="E14" s="16"/>
      <c r="F14" s="16">
        <v>0</v>
      </c>
      <c r="G14" s="16"/>
      <c r="H14" s="16">
        <v>688264273.16999996</v>
      </c>
      <c r="I14" s="16"/>
      <c r="J14" s="16">
        <v>0</v>
      </c>
      <c r="K14" s="16"/>
      <c r="L14" s="16">
        <v>107803033.52</v>
      </c>
      <c r="M14" s="16"/>
      <c r="N14" s="16">
        <v>904903721.64000022</v>
      </c>
      <c r="O14" s="16"/>
      <c r="P14" s="16">
        <v>7757018.6100000013</v>
      </c>
      <c r="Q14" s="16"/>
      <c r="R14" s="16">
        <v>0</v>
      </c>
      <c r="S14" s="16"/>
      <c r="T14" s="16">
        <f>SUM(P14:S14)</f>
        <v>7757018.6100000013</v>
      </c>
      <c r="U14" s="16"/>
      <c r="V14" s="16">
        <f>SUM(D14:O14)+T14</f>
        <v>2873129116.7000003</v>
      </c>
      <c r="W14" s="16"/>
      <c r="X14" s="16">
        <v>62559877.350000001</v>
      </c>
      <c r="Y14" s="188"/>
      <c r="Z14" s="16">
        <f>SUM(V14:X14)</f>
        <v>2935688994.0500002</v>
      </c>
      <c r="AB14" s="188"/>
      <c r="AC14" s="188"/>
    </row>
    <row r="15" spans="1:29" ht="6.75" customHeight="1" x14ac:dyDescent="0.4">
      <c r="B15" s="180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88"/>
      <c r="Z15" s="16"/>
    </row>
    <row r="16" spans="1:29" x14ac:dyDescent="0.4">
      <c r="A16" s="181" t="s">
        <v>271</v>
      </c>
      <c r="B16" s="180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88"/>
      <c r="Z16" s="16"/>
    </row>
    <row r="17" spans="1:29" x14ac:dyDescent="0.4">
      <c r="A17" s="7" t="s">
        <v>380</v>
      </c>
      <c r="B17" s="180">
        <v>26</v>
      </c>
      <c r="D17" s="16">
        <v>0</v>
      </c>
      <c r="E17" s="16"/>
      <c r="F17" s="16"/>
      <c r="G17" s="16"/>
      <c r="H17" s="16">
        <v>0</v>
      </c>
      <c r="I17" s="16"/>
      <c r="J17" s="16"/>
      <c r="K17" s="16"/>
      <c r="L17" s="16">
        <v>0</v>
      </c>
      <c r="M17" s="16"/>
      <c r="N17" s="16">
        <v>-139725340.78</v>
      </c>
      <c r="O17" s="16"/>
      <c r="P17" s="16">
        <v>0</v>
      </c>
      <c r="Q17" s="16"/>
      <c r="R17" s="16">
        <v>0</v>
      </c>
      <c r="S17" s="16"/>
      <c r="T17" s="16">
        <v>0</v>
      </c>
      <c r="U17" s="16"/>
      <c r="V17" s="16">
        <f t="shared" ref="V17:V18" si="0">SUM(D17:O17)+T17</f>
        <v>-139725340.78</v>
      </c>
      <c r="W17" s="16"/>
      <c r="X17" s="16">
        <v>0</v>
      </c>
      <c r="Y17" s="188"/>
      <c r="Z17" s="16">
        <f>SUM(V17:X17)</f>
        <v>-139725340.78</v>
      </c>
    </row>
    <row r="18" spans="1:29" x14ac:dyDescent="0.4">
      <c r="A18" s="181" t="s">
        <v>363</v>
      </c>
      <c r="D18" s="16">
        <v>0</v>
      </c>
      <c r="E18" s="16"/>
      <c r="F18" s="16">
        <v>0</v>
      </c>
      <c r="G18" s="16"/>
      <c r="H18" s="16">
        <v>0</v>
      </c>
      <c r="I18" s="16"/>
      <c r="J18" s="16">
        <v>0</v>
      </c>
      <c r="K18" s="16"/>
      <c r="L18" s="11">
        <v>0</v>
      </c>
      <c r="M18" s="11"/>
      <c r="N18" s="11">
        <v>286717125.59000009</v>
      </c>
      <c r="O18" s="16"/>
      <c r="P18" s="16">
        <v>23110743.059999999</v>
      </c>
      <c r="Q18" s="16"/>
      <c r="R18" s="11">
        <v>0</v>
      </c>
      <c r="S18" s="11"/>
      <c r="T18" s="11">
        <f>SUM(P18:S18)</f>
        <v>23110743.059999999</v>
      </c>
      <c r="U18" s="16"/>
      <c r="V18" s="16">
        <f t="shared" si="0"/>
        <v>309827868.6500001</v>
      </c>
      <c r="W18" s="16"/>
      <c r="X18" s="16">
        <v>-248015.53</v>
      </c>
      <c r="Y18" s="188"/>
      <c r="Z18" s="16">
        <f>SUM(V18:X18)</f>
        <v>309579853.12000012</v>
      </c>
      <c r="AB18" s="188"/>
    </row>
    <row r="19" spans="1:29" hidden="1" x14ac:dyDescent="0.4">
      <c r="A19" s="181" t="s">
        <v>291</v>
      </c>
      <c r="D19" s="16"/>
      <c r="E19" s="16"/>
      <c r="F19" s="16"/>
      <c r="G19" s="16"/>
      <c r="H19" s="16"/>
      <c r="I19" s="16"/>
      <c r="J19" s="16"/>
      <c r="K19" s="16"/>
      <c r="L19" s="11"/>
      <c r="M19" s="11"/>
      <c r="N19" s="11"/>
      <c r="O19" s="16"/>
      <c r="P19" s="16"/>
      <c r="Q19" s="16"/>
      <c r="R19" s="11"/>
      <c r="S19" s="11"/>
      <c r="T19" s="11"/>
      <c r="U19" s="16"/>
      <c r="V19" s="16"/>
      <c r="W19" s="16"/>
      <c r="X19" s="16"/>
      <c r="Y19" s="188"/>
      <c r="Z19" s="16"/>
      <c r="AB19" s="188"/>
    </row>
    <row r="20" spans="1:29" hidden="1" x14ac:dyDescent="0.4">
      <c r="A20" s="181" t="s">
        <v>292</v>
      </c>
      <c r="D20" s="16">
        <v>0</v>
      </c>
      <c r="E20" s="16"/>
      <c r="F20" s="16">
        <v>0</v>
      </c>
      <c r="G20" s="16"/>
      <c r="H20" s="16">
        <v>0</v>
      </c>
      <c r="I20" s="16"/>
      <c r="J20" s="16">
        <v>0</v>
      </c>
      <c r="K20" s="16"/>
      <c r="L20" s="11">
        <v>0</v>
      </c>
      <c r="M20" s="11"/>
      <c r="N20" s="11">
        <f>-R20</f>
        <v>0</v>
      </c>
      <c r="O20" s="16"/>
      <c r="P20" s="16"/>
      <c r="Q20" s="16"/>
      <c r="R20" s="11">
        <f>-R18</f>
        <v>0</v>
      </c>
      <c r="S20" s="11"/>
      <c r="T20" s="11">
        <f>SUM(P20:S20)</f>
        <v>0</v>
      </c>
      <c r="U20" s="16"/>
      <c r="V20" s="16">
        <f>SUM(D20:O20)+T20</f>
        <v>0</v>
      </c>
      <c r="W20" s="16"/>
      <c r="X20" s="16">
        <v>0</v>
      </c>
      <c r="Y20" s="188"/>
      <c r="Z20" s="16">
        <f>SUM(V20:X20)</f>
        <v>0</v>
      </c>
      <c r="AB20" s="188"/>
    </row>
    <row r="21" spans="1:29" ht="9.75" customHeight="1" x14ac:dyDescent="0.4">
      <c r="B21" s="180"/>
      <c r="D21" s="131"/>
      <c r="E21" s="188"/>
      <c r="F21" s="131"/>
      <c r="G21" s="16"/>
      <c r="H21" s="131"/>
      <c r="I21" s="188"/>
      <c r="J21" s="131"/>
      <c r="K21" s="16"/>
      <c r="L21" s="131"/>
      <c r="M21" s="192"/>
      <c r="N21" s="131"/>
      <c r="O21" s="16"/>
      <c r="P21" s="131"/>
      <c r="Q21" s="16"/>
      <c r="R21" s="131"/>
      <c r="S21" s="16"/>
      <c r="T21" s="131"/>
      <c r="U21" s="188"/>
      <c r="V21" s="131"/>
      <c r="W21" s="16"/>
      <c r="X21" s="131"/>
      <c r="Y21" s="188"/>
      <c r="Z21" s="131"/>
    </row>
    <row r="22" spans="1:29" ht="6" customHeight="1" x14ac:dyDescent="0.4"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6"/>
      <c r="W22" s="16"/>
      <c r="X22" s="16"/>
      <c r="Y22" s="188"/>
      <c r="Z22" s="188"/>
    </row>
    <row r="23" spans="1:29" ht="18.75" thickBot="1" x14ac:dyDescent="0.45">
      <c r="A23" s="181" t="s">
        <v>378</v>
      </c>
      <c r="D23" s="139">
        <f>SUM(D14:D22)</f>
        <v>1164401069.76</v>
      </c>
      <c r="E23" s="11"/>
      <c r="F23" s="139">
        <f>SUM(F14:F22)</f>
        <v>0</v>
      </c>
      <c r="G23" s="16"/>
      <c r="H23" s="139">
        <f>SUM(H14:H22)</f>
        <v>688264273.16999996</v>
      </c>
      <c r="I23" s="11"/>
      <c r="J23" s="139">
        <f>SUM(J14:J22)</f>
        <v>0</v>
      </c>
      <c r="K23" s="16"/>
      <c r="L23" s="139">
        <f>SUM(L14:L22)</f>
        <v>107803033.52</v>
      </c>
      <c r="M23" s="11"/>
      <c r="N23" s="139">
        <f>SUM(N14:N22)</f>
        <v>1051895506.4500003</v>
      </c>
      <c r="O23" s="16"/>
      <c r="P23" s="139">
        <f>SUM(P14:P22)</f>
        <v>30867761.670000002</v>
      </c>
      <c r="Q23" s="16"/>
      <c r="R23" s="139">
        <f>SUM(R14:R22)</f>
        <v>0</v>
      </c>
      <c r="S23" s="16"/>
      <c r="T23" s="139">
        <f>SUM(T14:T22)</f>
        <v>30867761.670000002</v>
      </c>
      <c r="U23" s="11"/>
      <c r="V23" s="139">
        <f>SUM(V14:V22)</f>
        <v>3043231644.5700002</v>
      </c>
      <c r="W23" s="16"/>
      <c r="X23" s="139">
        <f>SUM(X14:X22)</f>
        <v>62311861.82</v>
      </c>
      <c r="Y23" s="188"/>
      <c r="Z23" s="139">
        <f>SUM(Z14:Z22)</f>
        <v>3105543506.3900003</v>
      </c>
      <c r="AB23" s="188"/>
      <c r="AC23" s="188"/>
    </row>
    <row r="24" spans="1:29" ht="12" customHeight="1" thickTop="1" x14ac:dyDescent="0.4"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</row>
    <row r="25" spans="1:29" x14ac:dyDescent="0.4">
      <c r="A25" s="181" t="s">
        <v>350</v>
      </c>
      <c r="D25" s="16">
        <v>1350102558.8800001</v>
      </c>
      <c r="E25" s="16"/>
      <c r="F25" s="16">
        <v>0</v>
      </c>
      <c r="G25" s="16"/>
      <c r="H25" s="16">
        <v>1344904738.7199998</v>
      </c>
      <c r="I25" s="16"/>
      <c r="J25" s="16">
        <v>0</v>
      </c>
      <c r="K25" s="16"/>
      <c r="L25" s="16">
        <v>111952161.69</v>
      </c>
      <c r="M25" s="16"/>
      <c r="N25" s="16">
        <v>822100957.76000035</v>
      </c>
      <c r="O25" s="16"/>
      <c r="P25" s="16">
        <v>6366700.7300000014</v>
      </c>
      <c r="Q25" s="16"/>
      <c r="R25" s="16">
        <v>0</v>
      </c>
      <c r="S25" s="16"/>
      <c r="T25" s="16">
        <f>SUM(P25:S25)</f>
        <v>6366700.7300000014</v>
      </c>
      <c r="U25" s="16"/>
      <c r="V25" s="16">
        <f>SUM(D25:O25)+T25</f>
        <v>3635427117.7800002</v>
      </c>
      <c r="W25" s="16"/>
      <c r="X25" s="16">
        <v>62140406.899999999</v>
      </c>
      <c r="Y25" s="188"/>
      <c r="Z25" s="16">
        <f>SUM(V25:X25)</f>
        <v>3697567524.6800003</v>
      </c>
      <c r="AB25" s="188">
        <f>Z25-'BS_Q2-68'!H126</f>
        <v>0</v>
      </c>
    </row>
    <row r="26" spans="1:29" ht="9" customHeight="1" x14ac:dyDescent="0.4">
      <c r="B26" s="180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88"/>
      <c r="Z26" s="16"/>
    </row>
    <row r="27" spans="1:29" x14ac:dyDescent="0.4">
      <c r="A27" s="181" t="s">
        <v>271</v>
      </c>
      <c r="B27" s="180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88"/>
      <c r="Z27" s="16"/>
    </row>
    <row r="28" spans="1:29" x14ac:dyDescent="0.4">
      <c r="A28" s="7" t="s">
        <v>380</v>
      </c>
      <c r="B28" s="180">
        <v>26</v>
      </c>
      <c r="D28" s="16">
        <v>0</v>
      </c>
      <c r="E28" s="16"/>
      <c r="F28" s="16"/>
      <c r="G28" s="16"/>
      <c r="H28" s="16">
        <v>0</v>
      </c>
      <c r="I28" s="16"/>
      <c r="J28" s="16"/>
      <c r="K28" s="16"/>
      <c r="L28" s="16">
        <v>0</v>
      </c>
      <c r="M28" s="16"/>
      <c r="N28" s="16">
        <v>-135003086.78999999</v>
      </c>
      <c r="O28" s="16"/>
      <c r="P28" s="16">
        <v>0</v>
      </c>
      <c r="Q28" s="16"/>
      <c r="R28" s="16">
        <v>0</v>
      </c>
      <c r="S28" s="16"/>
      <c r="T28" s="11">
        <f>SUM(P28:S28)</f>
        <v>0</v>
      </c>
      <c r="U28" s="16"/>
      <c r="V28" s="16">
        <f>SUM(D28:O28)+T28</f>
        <v>-135003086.78999999</v>
      </c>
      <c r="W28" s="16"/>
      <c r="X28" s="16">
        <v>0</v>
      </c>
      <c r="Y28" s="188"/>
      <c r="Z28" s="16">
        <f>SUM(V28:X28)</f>
        <v>-135003086.78999999</v>
      </c>
    </row>
    <row r="29" spans="1:29" x14ac:dyDescent="0.4">
      <c r="A29" s="181" t="s">
        <v>363</v>
      </c>
      <c r="D29" s="16">
        <v>0</v>
      </c>
      <c r="E29" s="16"/>
      <c r="F29" s="16">
        <v>0</v>
      </c>
      <c r="G29" s="16"/>
      <c r="H29" s="16">
        <v>0</v>
      </c>
      <c r="I29" s="16"/>
      <c r="J29" s="16">
        <v>0</v>
      </c>
      <c r="K29" s="16"/>
      <c r="L29" s="11">
        <v>0</v>
      </c>
      <c r="M29" s="11"/>
      <c r="N29" s="11">
        <f>'PL_Q2-68'!F149</f>
        <v>-462574299.17000008</v>
      </c>
      <c r="O29" s="16"/>
      <c r="P29" s="16">
        <f>'PL_Q2-68'!F181</f>
        <v>-26201761.294690099</v>
      </c>
      <c r="Q29" s="16"/>
      <c r="R29" s="11">
        <v>-2765954.4</v>
      </c>
      <c r="S29" s="11"/>
      <c r="T29" s="11">
        <f>SUM(P29:S29)</f>
        <v>-28967715.694690097</v>
      </c>
      <c r="U29" s="16"/>
      <c r="V29" s="16">
        <f>SUM(D29:O29)+T29</f>
        <v>-491542014.86469018</v>
      </c>
      <c r="W29" s="16"/>
      <c r="X29" s="16">
        <f>'PL_Q2-68'!F150</f>
        <v>-222234.50999999998</v>
      </c>
      <c r="Y29" s="188"/>
      <c r="Z29" s="16">
        <f>SUM(V29:X29)</f>
        <v>-491764249.37469018</v>
      </c>
    </row>
    <row r="30" spans="1:29" x14ac:dyDescent="0.4">
      <c r="A30" s="181" t="s">
        <v>291</v>
      </c>
      <c r="D30" s="16"/>
      <c r="E30" s="16"/>
      <c r="F30" s="16"/>
      <c r="G30" s="16"/>
      <c r="H30" s="16"/>
      <c r="I30" s="16"/>
      <c r="J30" s="16"/>
      <c r="K30" s="16"/>
      <c r="L30" s="11"/>
      <c r="M30" s="11"/>
      <c r="N30" s="11"/>
      <c r="O30" s="16"/>
      <c r="P30" s="16"/>
      <c r="Q30" s="16"/>
      <c r="R30" s="11"/>
      <c r="S30" s="11"/>
      <c r="T30" s="11"/>
      <c r="U30" s="16"/>
      <c r="V30" s="16"/>
      <c r="W30" s="16"/>
      <c r="X30" s="16"/>
      <c r="Y30" s="188"/>
      <c r="Z30" s="16"/>
    </row>
    <row r="31" spans="1:29" x14ac:dyDescent="0.4">
      <c r="A31" s="181" t="s">
        <v>292</v>
      </c>
      <c r="D31" s="16">
        <v>0</v>
      </c>
      <c r="E31" s="16"/>
      <c r="F31" s="16">
        <v>0</v>
      </c>
      <c r="G31" s="16"/>
      <c r="H31" s="16">
        <v>0</v>
      </c>
      <c r="I31" s="16"/>
      <c r="J31" s="16">
        <v>0</v>
      </c>
      <c r="K31" s="16"/>
      <c r="L31" s="11">
        <v>0</v>
      </c>
      <c r="M31" s="11"/>
      <c r="N31" s="11">
        <f>-R31</f>
        <v>-2765954.4</v>
      </c>
      <c r="O31" s="16"/>
      <c r="P31" s="16">
        <v>0</v>
      </c>
      <c r="Q31" s="16"/>
      <c r="R31" s="11">
        <f>-R29</f>
        <v>2765954.4</v>
      </c>
      <c r="S31" s="11"/>
      <c r="T31" s="11">
        <f>SUM(P31:S31)</f>
        <v>2765954.4</v>
      </c>
      <c r="U31" s="16"/>
      <c r="V31" s="16">
        <f>SUM(D31:O31)+T31</f>
        <v>0</v>
      </c>
      <c r="W31" s="16"/>
      <c r="X31" s="16">
        <v>0</v>
      </c>
      <c r="Y31" s="188"/>
      <c r="Z31" s="16">
        <f>SUM(V31:X31)</f>
        <v>0</v>
      </c>
    </row>
    <row r="32" spans="1:29" ht="9.75" customHeight="1" x14ac:dyDescent="0.4">
      <c r="B32" s="180"/>
      <c r="D32" s="131"/>
      <c r="E32" s="188"/>
      <c r="F32" s="131"/>
      <c r="G32" s="16"/>
      <c r="H32" s="131"/>
      <c r="I32" s="188"/>
      <c r="J32" s="131"/>
      <c r="K32" s="16"/>
      <c r="L32" s="131"/>
      <c r="M32" s="192"/>
      <c r="N32" s="131"/>
      <c r="O32" s="16"/>
      <c r="P32" s="131"/>
      <c r="Q32" s="16"/>
      <c r="R32" s="131"/>
      <c r="S32" s="16"/>
      <c r="T32" s="131"/>
      <c r="U32" s="188"/>
      <c r="V32" s="131"/>
      <c r="W32" s="16"/>
      <c r="X32" s="131"/>
      <c r="Y32" s="188"/>
      <c r="Z32" s="131"/>
    </row>
    <row r="33" spans="1:30" ht="6" customHeight="1" x14ac:dyDescent="0.4"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6"/>
      <c r="W33" s="16"/>
      <c r="X33" s="16"/>
      <c r="Y33" s="188"/>
      <c r="Z33" s="188"/>
    </row>
    <row r="34" spans="1:30" ht="18.75" thickBot="1" x14ac:dyDescent="0.45">
      <c r="A34" s="181" t="s">
        <v>379</v>
      </c>
      <c r="D34" s="139">
        <f>SUM(D25:D33)</f>
        <v>1350102558.8800001</v>
      </c>
      <c r="E34" s="11"/>
      <c r="F34" s="139">
        <f>SUM(F25:F33)</f>
        <v>0</v>
      </c>
      <c r="G34" s="16"/>
      <c r="H34" s="139">
        <f>SUM(H25:H33)</f>
        <v>1344904738.7199998</v>
      </c>
      <c r="I34" s="11"/>
      <c r="J34" s="139">
        <f>SUM(J25:J33)</f>
        <v>0</v>
      </c>
      <c r="K34" s="16"/>
      <c r="L34" s="139">
        <f>SUM(L25:L33)</f>
        <v>111952161.69</v>
      </c>
      <c r="M34" s="11"/>
      <c r="N34" s="139">
        <f>SUM(N25:N33)</f>
        <v>221757617.4000003</v>
      </c>
      <c r="O34" s="16"/>
      <c r="P34" s="139">
        <f>SUM(P25:P33)</f>
        <v>-19835060.564690098</v>
      </c>
      <c r="Q34" s="16"/>
      <c r="R34" s="139">
        <f>SUM(R25:R33)</f>
        <v>0</v>
      </c>
      <c r="S34" s="16"/>
      <c r="T34" s="139">
        <f>SUM(T25:T33)</f>
        <v>-19835060.564690098</v>
      </c>
      <c r="U34" s="11"/>
      <c r="V34" s="139">
        <f>SUM(V25:V33)</f>
        <v>3008882016.1253099</v>
      </c>
      <c r="W34" s="16"/>
      <c r="X34" s="139">
        <f>SUM(X25:X33)</f>
        <v>61918172.390000001</v>
      </c>
      <c r="Y34" s="188"/>
      <c r="Z34" s="139">
        <f>SUM(Z25:Z33)</f>
        <v>3070800188.5153103</v>
      </c>
      <c r="AB34" s="11">
        <f>Z34-'BS_Q2-68'!F126</f>
        <v>0</v>
      </c>
      <c r="AC34" s="188">
        <f>N34-'BS_Q2-68'!F122</f>
        <v>0</v>
      </c>
      <c r="AD34" s="188">
        <f>L34-'BS_Q2-68'!F121</f>
        <v>0</v>
      </c>
    </row>
    <row r="35" spans="1:30" ht="18.75" thickTop="1" x14ac:dyDescent="0.4"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B35" s="188"/>
    </row>
    <row r="36" spans="1:30" x14ac:dyDescent="0.4">
      <c r="A36" s="181" t="s">
        <v>360</v>
      </c>
    </row>
    <row r="39" spans="1:30" s="178" customFormat="1" x14ac:dyDescent="0.4">
      <c r="A39" s="194" t="s">
        <v>145</v>
      </c>
      <c r="C39" s="180"/>
      <c r="D39" s="194"/>
      <c r="E39" s="180"/>
      <c r="F39" s="180"/>
      <c r="G39" s="180"/>
      <c r="H39" s="180"/>
      <c r="I39" s="180"/>
      <c r="K39" s="194"/>
      <c r="L39" s="194"/>
      <c r="M39" s="194"/>
      <c r="N39" s="194"/>
      <c r="O39" s="194"/>
      <c r="P39" s="194"/>
      <c r="Q39" s="194"/>
      <c r="R39" s="194"/>
      <c r="S39" s="194"/>
      <c r="T39" s="194" t="s">
        <v>145</v>
      </c>
      <c r="U39" s="180"/>
      <c r="V39" s="180"/>
      <c r="W39" s="180"/>
      <c r="X39" s="180"/>
      <c r="Y39" s="180"/>
      <c r="AB39" s="6"/>
    </row>
    <row r="40" spans="1:30" s="178" customFormat="1" ht="9" customHeight="1" x14ac:dyDescent="0.4">
      <c r="A40" s="289"/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89"/>
      <c r="Z40" s="289"/>
      <c r="AB40" s="6"/>
    </row>
    <row r="41" spans="1:30" x14ac:dyDescent="0.4">
      <c r="A41" s="195"/>
    </row>
  </sheetData>
  <mergeCells count="9">
    <mergeCell ref="A40:Z40"/>
    <mergeCell ref="L8:N8"/>
    <mergeCell ref="P8:T8"/>
    <mergeCell ref="X1:Z1"/>
    <mergeCell ref="A2:Z2"/>
    <mergeCell ref="A3:Z3"/>
    <mergeCell ref="A4:Z4"/>
    <mergeCell ref="A5:Z5"/>
    <mergeCell ref="D7:Z7"/>
  </mergeCells>
  <pageMargins left="0.43307086614173229" right="0.23622047244094491" top="0.74803149606299213" bottom="0.74803149606299213" header="0.31496062992125984" footer="0.31496062992125984"/>
  <pageSetup paperSize="9" scale="86" fitToHeight="0" orientation="landscape" r:id="rId1"/>
  <headerFooter alignWithMargins="0">
    <oddFooter>&amp;C4</oddFooter>
  </headerFooter>
  <colBreaks count="1" manualBreakCount="1">
    <brk id="26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380EC-FB2B-479E-8CD5-C940EDD7DA49}">
  <sheetPr codeName="Sheet3">
    <pageSetUpPr fitToPage="1"/>
  </sheetPr>
  <dimension ref="A1:AB40"/>
  <sheetViews>
    <sheetView view="pageBreakPreview" zoomScale="85" zoomScaleNormal="100" zoomScaleSheetLayoutView="85" workbookViewId="0">
      <selection activeCell="A15" sqref="A15"/>
    </sheetView>
  </sheetViews>
  <sheetFormatPr defaultColWidth="9.140625" defaultRowHeight="21" x14ac:dyDescent="0.45"/>
  <cols>
    <col min="1" max="1" width="41.140625" style="215" customWidth="1"/>
    <col min="2" max="2" width="4.85546875" style="215" customWidth="1"/>
    <col min="3" max="3" width="1.42578125" style="215" customWidth="1"/>
    <col min="4" max="4" width="15" style="215" customWidth="1"/>
    <col min="5" max="5" width="1.42578125" style="215" customWidth="1"/>
    <col min="6" max="6" width="14.42578125" style="215" hidden="1" customWidth="1"/>
    <col min="7" max="7" width="1.5703125" style="215" hidden="1" customWidth="1"/>
    <col min="8" max="8" width="15.42578125" style="215" customWidth="1"/>
    <col min="9" max="9" width="1.140625" style="215" hidden="1" customWidth="1"/>
    <col min="10" max="10" width="14.140625" style="215" hidden="1" customWidth="1"/>
    <col min="11" max="11" width="1.42578125" style="215" hidden="1" customWidth="1"/>
    <col min="12" max="12" width="12.140625" style="215" hidden="1" customWidth="1"/>
    <col min="13" max="13" width="1.42578125" style="215" hidden="1" customWidth="1"/>
    <col min="14" max="14" width="11.85546875" style="215" hidden="1" customWidth="1"/>
    <col min="15" max="15" width="1.42578125" style="215" hidden="1" customWidth="1"/>
    <col min="16" max="16" width="11.85546875" style="215" hidden="1" customWidth="1"/>
    <col min="17" max="17" width="1.42578125" style="215" customWidth="1"/>
    <col min="18" max="18" width="14.140625" style="215" customWidth="1"/>
    <col min="19" max="19" width="1.42578125" style="215" customWidth="1"/>
    <col min="20" max="20" width="15" style="215" bestFit="1" customWidth="1"/>
    <col min="21" max="21" width="1.140625" style="215" customWidth="1"/>
    <col min="22" max="22" width="21.85546875" style="215" customWidth="1"/>
    <col min="23" max="23" width="1.42578125" style="215" customWidth="1"/>
    <col min="24" max="24" width="15.140625" style="215" customWidth="1"/>
    <col min="25" max="25" width="19" style="215" customWidth="1"/>
    <col min="26" max="26" width="10.5703125" style="215" bestFit="1" customWidth="1"/>
    <col min="27" max="16384" width="9.140625" style="215"/>
  </cols>
  <sheetData>
    <row r="1" spans="1:26" ht="21.75" customHeight="1" x14ac:dyDescent="0.45">
      <c r="A1" s="214"/>
      <c r="V1" s="294" t="s">
        <v>312</v>
      </c>
      <c r="W1" s="294"/>
      <c r="X1" s="294"/>
    </row>
    <row r="2" spans="1:26" ht="6.75" customHeight="1" x14ac:dyDescent="0.45">
      <c r="X2" s="216"/>
    </row>
    <row r="3" spans="1:26" x14ac:dyDescent="0.45">
      <c r="A3" s="299" t="str">
        <f>'Changed-Conso'!A2</f>
        <v>THE BROOKER GROUP PUBLIC COMPANY LIMITED AND ITS SUBSIDIARIES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120"/>
    </row>
    <row r="4" spans="1:26" x14ac:dyDescent="0.45">
      <c r="A4" s="300" t="str">
        <f>'Changed-Conso'!A3</f>
        <v>STATEMENTS OF CHANGES IN SHAREHOLDERS' EQUITY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</row>
    <row r="5" spans="1:26" x14ac:dyDescent="0.45">
      <c r="A5" s="300" t="s">
        <v>206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</row>
    <row r="6" spans="1:26" x14ac:dyDescent="0.45">
      <c r="A6" s="300" t="s">
        <v>377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</row>
    <row r="7" spans="1:26" x14ac:dyDescent="0.45">
      <c r="D7" s="301" t="s">
        <v>213</v>
      </c>
      <c r="E7" s="301"/>
      <c r="F7" s="301"/>
      <c r="G7" s="301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</row>
    <row r="8" spans="1:26" x14ac:dyDescent="0.45">
      <c r="B8" s="217"/>
      <c r="C8" s="217"/>
      <c r="D8" s="119"/>
      <c r="E8" s="119"/>
      <c r="F8" s="218"/>
      <c r="G8" s="218"/>
      <c r="H8" s="218"/>
      <c r="I8" s="119"/>
      <c r="J8" s="217" t="s">
        <v>279</v>
      </c>
      <c r="K8" s="119"/>
      <c r="L8" s="121" t="s">
        <v>192</v>
      </c>
      <c r="M8" s="122"/>
      <c r="N8" s="122"/>
      <c r="O8" s="122"/>
      <c r="P8" s="122"/>
      <c r="Q8" s="122"/>
      <c r="R8" s="298" t="s">
        <v>216</v>
      </c>
      <c r="S8" s="298"/>
      <c r="T8" s="298"/>
      <c r="U8" s="73"/>
      <c r="V8" s="73" t="s">
        <v>268</v>
      </c>
      <c r="W8" s="73"/>
    </row>
    <row r="9" spans="1:26" x14ac:dyDescent="0.45">
      <c r="D9" s="217" t="s">
        <v>201</v>
      </c>
      <c r="E9" s="122"/>
      <c r="F9" s="218"/>
      <c r="G9" s="218"/>
      <c r="H9" s="217" t="s">
        <v>277</v>
      </c>
      <c r="I9" s="122"/>
      <c r="J9" s="217" t="s">
        <v>280</v>
      </c>
      <c r="K9" s="122"/>
      <c r="L9" s="121" t="s">
        <v>191</v>
      </c>
      <c r="M9" s="121"/>
      <c r="N9" s="121" t="s">
        <v>194</v>
      </c>
      <c r="O9" s="121"/>
      <c r="P9" s="121" t="s">
        <v>168</v>
      </c>
      <c r="Q9" s="122"/>
      <c r="V9" s="147" t="s">
        <v>228</v>
      </c>
      <c r="W9" s="73"/>
    </row>
    <row r="10" spans="1:26" x14ac:dyDescent="0.45">
      <c r="D10" s="217" t="s">
        <v>165</v>
      </c>
      <c r="E10" s="123"/>
      <c r="F10" s="218"/>
      <c r="G10" s="218"/>
      <c r="H10" s="217" t="s">
        <v>278</v>
      </c>
      <c r="I10" s="123"/>
      <c r="J10" s="218" t="s">
        <v>281</v>
      </c>
      <c r="K10" s="121"/>
      <c r="L10" s="121" t="s">
        <v>175</v>
      </c>
      <c r="M10" s="121"/>
      <c r="N10" s="219" t="s">
        <v>195</v>
      </c>
      <c r="O10" s="121"/>
      <c r="P10" s="121" t="s">
        <v>169</v>
      </c>
      <c r="Q10" s="122"/>
      <c r="R10" s="217" t="s">
        <v>172</v>
      </c>
      <c r="S10" s="124"/>
      <c r="T10" s="71"/>
      <c r="U10" s="71"/>
      <c r="V10" s="126" t="s">
        <v>269</v>
      </c>
      <c r="W10" s="71"/>
    </row>
    <row r="11" spans="1:26" x14ac:dyDescent="0.45">
      <c r="B11" s="220" t="s">
        <v>217</v>
      </c>
      <c r="D11" s="221" t="s">
        <v>166</v>
      </c>
      <c r="E11" s="125"/>
      <c r="F11" s="222" t="s">
        <v>243</v>
      </c>
      <c r="G11" s="219"/>
      <c r="H11" s="221" t="s">
        <v>167</v>
      </c>
      <c r="I11" s="125"/>
      <c r="J11" s="221" t="s">
        <v>282</v>
      </c>
      <c r="K11" s="126"/>
      <c r="L11" s="147" t="s">
        <v>176</v>
      </c>
      <c r="M11" s="126"/>
      <c r="N11" s="147" t="s">
        <v>196</v>
      </c>
      <c r="O11" s="126"/>
      <c r="P11" s="147" t="s">
        <v>170</v>
      </c>
      <c r="Q11" s="122"/>
      <c r="R11" s="221" t="s">
        <v>173</v>
      </c>
      <c r="S11" s="124"/>
      <c r="T11" s="221" t="s">
        <v>154</v>
      </c>
      <c r="U11" s="217"/>
      <c r="V11" s="147" t="s">
        <v>270</v>
      </c>
      <c r="W11" s="73"/>
      <c r="X11" s="221" t="s">
        <v>174</v>
      </c>
    </row>
    <row r="12" spans="1:26" x14ac:dyDescent="0.45">
      <c r="C12" s="126"/>
      <c r="F12" s="223"/>
      <c r="G12" s="224"/>
      <c r="R12" s="73"/>
      <c r="S12" s="126"/>
      <c r="T12" s="127"/>
      <c r="U12" s="127"/>
      <c r="V12" s="127"/>
      <c r="W12" s="125"/>
      <c r="X12" s="127"/>
    </row>
    <row r="13" spans="1:26" x14ac:dyDescent="0.45">
      <c r="A13" s="225" t="s">
        <v>319</v>
      </c>
      <c r="B13" s="226"/>
      <c r="D13" s="119">
        <v>1164401069.76</v>
      </c>
      <c r="E13" s="119"/>
      <c r="F13" s="119">
        <v>0</v>
      </c>
      <c r="G13" s="119"/>
      <c r="H13" s="119">
        <v>688264273.16999996</v>
      </c>
      <c r="I13" s="119"/>
      <c r="J13" s="119">
        <v>0</v>
      </c>
      <c r="K13" s="119"/>
      <c r="L13" s="122">
        <v>0</v>
      </c>
      <c r="M13" s="119"/>
      <c r="N13" s="119">
        <v>0</v>
      </c>
      <c r="O13" s="119"/>
      <c r="P13" s="119">
        <v>0</v>
      </c>
      <c r="Q13" s="119"/>
      <c r="R13" s="119">
        <v>107803033.52</v>
      </c>
      <c r="S13" s="119"/>
      <c r="T13" s="119">
        <v>944772321.66999996</v>
      </c>
      <c r="U13" s="119"/>
      <c r="V13" s="119">
        <v>0</v>
      </c>
      <c r="W13" s="119"/>
      <c r="X13" s="119">
        <f>SUM(D13:V13)</f>
        <v>2905240698.1199999</v>
      </c>
      <c r="Y13" s="227"/>
      <c r="Z13" s="122"/>
    </row>
    <row r="14" spans="1:26" ht="9" customHeight="1" x14ac:dyDescent="0.45"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19"/>
      <c r="T14" s="119"/>
      <c r="U14" s="119"/>
      <c r="V14" s="16"/>
      <c r="W14" s="119"/>
      <c r="X14" s="119"/>
      <c r="Z14" s="122"/>
    </row>
    <row r="15" spans="1:26" x14ac:dyDescent="0.45">
      <c r="A15" s="215" t="s">
        <v>272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19"/>
      <c r="T15" s="119"/>
      <c r="U15" s="119"/>
      <c r="V15" s="16"/>
      <c r="W15" s="119"/>
      <c r="X15" s="119"/>
      <c r="Z15" s="122"/>
    </row>
    <row r="16" spans="1:26" x14ac:dyDescent="0.45">
      <c r="A16" s="174" t="s">
        <v>381</v>
      </c>
      <c r="B16" s="219">
        <v>26</v>
      </c>
      <c r="D16" s="16">
        <v>0</v>
      </c>
      <c r="E16" s="16"/>
      <c r="F16" s="16"/>
      <c r="G16" s="16"/>
      <c r="H16" s="16">
        <v>0</v>
      </c>
      <c r="I16" s="16"/>
      <c r="J16" s="16"/>
      <c r="K16" s="16"/>
      <c r="L16" s="16"/>
      <c r="M16" s="16"/>
      <c r="N16" s="16"/>
      <c r="O16" s="16"/>
      <c r="P16" s="16"/>
      <c r="Q16" s="16"/>
      <c r="R16" s="16">
        <v>0</v>
      </c>
      <c r="S16" s="119"/>
      <c r="T16" s="119">
        <v>-139725340.78</v>
      </c>
      <c r="U16" s="119"/>
      <c r="V16" s="119">
        <v>0</v>
      </c>
      <c r="W16" s="119"/>
      <c r="X16" s="119">
        <f>SUM(D16:V16)</f>
        <v>-139725340.78</v>
      </c>
      <c r="Z16" s="122"/>
    </row>
    <row r="17" spans="1:26" x14ac:dyDescent="0.45">
      <c r="A17" s="130" t="s">
        <v>363</v>
      </c>
      <c r="B17" s="121"/>
      <c r="C17" s="122"/>
      <c r="D17" s="119">
        <v>0</v>
      </c>
      <c r="E17" s="119"/>
      <c r="F17" s="119">
        <v>0</v>
      </c>
      <c r="G17" s="119"/>
      <c r="H17" s="119">
        <v>0</v>
      </c>
      <c r="I17" s="119"/>
      <c r="J17" s="119">
        <v>0</v>
      </c>
      <c r="K17" s="119"/>
      <c r="L17" s="119">
        <v>0</v>
      </c>
      <c r="M17" s="119"/>
      <c r="N17" s="119">
        <v>0</v>
      </c>
      <c r="O17" s="119"/>
      <c r="P17" s="119">
        <v>0</v>
      </c>
      <c r="Q17" s="119"/>
      <c r="R17" s="119">
        <v>0</v>
      </c>
      <c r="S17" s="119"/>
      <c r="T17" s="119">
        <v>82982563.439999968</v>
      </c>
      <c r="U17" s="119"/>
      <c r="V17" s="119">
        <f>-V19</f>
        <v>0</v>
      </c>
      <c r="W17" s="119"/>
      <c r="X17" s="119">
        <f>SUM(D17:V17)</f>
        <v>82982563.439999968</v>
      </c>
      <c r="Y17" s="227"/>
    </row>
    <row r="18" spans="1:26" hidden="1" x14ac:dyDescent="0.45">
      <c r="A18" s="215" t="s">
        <v>291</v>
      </c>
      <c r="B18" s="121"/>
      <c r="C18" s="122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227"/>
    </row>
    <row r="19" spans="1:26" hidden="1" x14ac:dyDescent="0.45">
      <c r="A19" s="215" t="s">
        <v>292</v>
      </c>
      <c r="B19" s="121"/>
      <c r="C19" s="122"/>
      <c r="D19" s="119">
        <v>0</v>
      </c>
      <c r="E19" s="119"/>
      <c r="F19" s="119">
        <v>0</v>
      </c>
      <c r="G19" s="119"/>
      <c r="H19" s="119">
        <v>0</v>
      </c>
      <c r="I19" s="119"/>
      <c r="J19" s="119">
        <v>0</v>
      </c>
      <c r="K19" s="119"/>
      <c r="L19" s="119">
        <v>0</v>
      </c>
      <c r="M19" s="119"/>
      <c r="N19" s="119">
        <v>0</v>
      </c>
      <c r="O19" s="119"/>
      <c r="P19" s="119">
        <v>0</v>
      </c>
      <c r="Q19" s="119"/>
      <c r="R19" s="119">
        <v>0</v>
      </c>
      <c r="S19" s="119"/>
      <c r="T19" s="119">
        <v>0</v>
      </c>
      <c r="U19" s="119"/>
      <c r="V19" s="119">
        <f>-T19</f>
        <v>0</v>
      </c>
      <c r="W19" s="119"/>
      <c r="X19" s="119">
        <f>SUM(D19:V19)</f>
        <v>0</v>
      </c>
      <c r="Y19" s="227"/>
    </row>
    <row r="20" spans="1:26" ht="8.25" customHeight="1" x14ac:dyDescent="0.45">
      <c r="B20" s="228"/>
      <c r="D20" s="136"/>
      <c r="E20" s="122"/>
      <c r="F20" s="136"/>
      <c r="G20" s="119"/>
      <c r="H20" s="136"/>
      <c r="I20" s="122"/>
      <c r="J20" s="136"/>
      <c r="K20" s="119"/>
      <c r="L20" s="136"/>
      <c r="M20" s="119"/>
      <c r="N20" s="136"/>
      <c r="O20" s="119"/>
      <c r="P20" s="136"/>
      <c r="Q20" s="122"/>
      <c r="R20" s="136"/>
      <c r="S20" s="122"/>
      <c r="T20" s="136"/>
      <c r="U20" s="119"/>
      <c r="V20" s="136"/>
      <c r="W20" s="119"/>
      <c r="X20" s="136"/>
    </row>
    <row r="21" spans="1:26" ht="21.75" thickBot="1" x14ac:dyDescent="0.5">
      <c r="A21" s="225" t="s">
        <v>385</v>
      </c>
      <c r="B21" s="228"/>
      <c r="D21" s="137">
        <f>SUM(D13:D20)</f>
        <v>1164401069.76</v>
      </c>
      <c r="E21" s="122"/>
      <c r="F21" s="137">
        <f>SUM(F13:F20)</f>
        <v>0</v>
      </c>
      <c r="G21" s="119"/>
      <c r="H21" s="137">
        <f>SUM(H13:H20)</f>
        <v>688264273.16999996</v>
      </c>
      <c r="I21" s="122"/>
      <c r="J21" s="137">
        <f>SUM(J13:J20)</f>
        <v>0</v>
      </c>
      <c r="K21" s="119"/>
      <c r="L21" s="137">
        <f>SUM(L17:L17)</f>
        <v>0</v>
      </c>
      <c r="M21" s="119"/>
      <c r="N21" s="137">
        <f>SUM(N17:N17)</f>
        <v>0</v>
      </c>
      <c r="O21" s="119"/>
      <c r="P21" s="137">
        <f>SUM(P17:P17)</f>
        <v>0</v>
      </c>
      <c r="Q21" s="122"/>
      <c r="R21" s="137">
        <f>SUM(R13:R20)</f>
        <v>107803033.52</v>
      </c>
      <c r="S21" s="122"/>
      <c r="T21" s="137">
        <f>SUM(T13:T20)</f>
        <v>888029544.32999992</v>
      </c>
      <c r="U21" s="119"/>
      <c r="V21" s="137">
        <f>SUM(V13:V20)</f>
        <v>0</v>
      </c>
      <c r="W21" s="119"/>
      <c r="X21" s="137">
        <f>SUM(X13:X20)</f>
        <v>2848497920.7799997</v>
      </c>
      <c r="Y21" s="227"/>
    </row>
    <row r="22" spans="1:26" ht="21.75" thickTop="1" x14ac:dyDescent="0.45">
      <c r="B22" s="228"/>
      <c r="D22" s="227"/>
      <c r="E22" s="227"/>
      <c r="F22" s="122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122"/>
      <c r="W22" s="227"/>
      <c r="X22" s="227"/>
    </row>
    <row r="23" spans="1:26" x14ac:dyDescent="0.45">
      <c r="A23" s="225" t="s">
        <v>350</v>
      </c>
      <c r="B23" s="228"/>
      <c r="D23" s="119">
        <v>1350102558.8800001</v>
      </c>
      <c r="E23" s="119"/>
      <c r="F23" s="119">
        <v>0</v>
      </c>
      <c r="G23" s="119"/>
      <c r="H23" s="119">
        <v>1344904738.7199998</v>
      </c>
      <c r="I23" s="119"/>
      <c r="J23" s="119">
        <v>0</v>
      </c>
      <c r="K23" s="119"/>
      <c r="L23" s="122">
        <v>0</v>
      </c>
      <c r="M23" s="119"/>
      <c r="N23" s="119">
        <v>0</v>
      </c>
      <c r="O23" s="119"/>
      <c r="P23" s="119">
        <v>0</v>
      </c>
      <c r="Q23" s="119"/>
      <c r="R23" s="119">
        <v>111952161.69</v>
      </c>
      <c r="S23" s="119"/>
      <c r="T23" s="119">
        <v>584721503.51000011</v>
      </c>
      <c r="U23" s="119"/>
      <c r="V23" s="119">
        <v>0</v>
      </c>
      <c r="W23" s="119"/>
      <c r="X23" s="119">
        <f>SUM(D23:V23)</f>
        <v>3391680962.8000002</v>
      </c>
      <c r="Z23" s="122"/>
    </row>
    <row r="24" spans="1:26" ht="9.75" customHeight="1" x14ac:dyDescent="0.45">
      <c r="B24" s="228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19"/>
      <c r="T24" s="119"/>
      <c r="U24" s="119"/>
      <c r="V24" s="16"/>
      <c r="W24" s="119"/>
      <c r="X24" s="119"/>
    </row>
    <row r="25" spans="1:26" x14ac:dyDescent="0.45">
      <c r="A25" s="215" t="s">
        <v>272</v>
      </c>
      <c r="B25" s="228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19"/>
      <c r="T25" s="119"/>
      <c r="U25" s="119"/>
      <c r="V25" s="16"/>
      <c r="W25" s="119"/>
      <c r="X25" s="119"/>
    </row>
    <row r="26" spans="1:26" x14ac:dyDescent="0.45">
      <c r="A26" s="174" t="s">
        <v>381</v>
      </c>
      <c r="B26" s="228">
        <v>26</v>
      </c>
      <c r="D26" s="16">
        <v>0</v>
      </c>
      <c r="E26" s="16"/>
      <c r="F26" s="16"/>
      <c r="G26" s="16"/>
      <c r="H26" s="16">
        <v>0</v>
      </c>
      <c r="I26" s="16"/>
      <c r="J26" s="16"/>
      <c r="K26" s="16"/>
      <c r="L26" s="16"/>
      <c r="M26" s="16"/>
      <c r="N26" s="16"/>
      <c r="O26" s="16"/>
      <c r="P26" s="16"/>
      <c r="Q26" s="16"/>
      <c r="R26" s="16">
        <v>0</v>
      </c>
      <c r="S26" s="119"/>
      <c r="T26" s="119">
        <v>-135003086.78999999</v>
      </c>
      <c r="U26" s="119"/>
      <c r="V26" s="16">
        <v>0</v>
      </c>
      <c r="W26" s="119"/>
      <c r="X26" s="119">
        <f>SUM(D26:V26)</f>
        <v>-135003086.78999999</v>
      </c>
    </row>
    <row r="27" spans="1:26" s="122" customFormat="1" x14ac:dyDescent="0.45">
      <c r="A27" s="130" t="s">
        <v>363</v>
      </c>
      <c r="B27" s="121"/>
      <c r="D27" s="119">
        <v>0</v>
      </c>
      <c r="E27" s="119"/>
      <c r="F27" s="119">
        <v>0</v>
      </c>
      <c r="G27" s="119"/>
      <c r="H27" s="119">
        <v>0</v>
      </c>
      <c r="I27" s="119"/>
      <c r="J27" s="119">
        <v>0</v>
      </c>
      <c r="K27" s="119"/>
      <c r="L27" s="119">
        <v>0</v>
      </c>
      <c r="M27" s="119"/>
      <c r="N27" s="119">
        <v>0</v>
      </c>
      <c r="O27" s="119"/>
      <c r="P27" s="119">
        <v>0</v>
      </c>
      <c r="Q27" s="119"/>
      <c r="R27" s="119">
        <v>0</v>
      </c>
      <c r="S27" s="119"/>
      <c r="T27" s="119">
        <f>'PL_Q2-68'!J149</f>
        <v>-231582966.99000001</v>
      </c>
      <c r="U27" s="119"/>
      <c r="V27" s="119">
        <v>-2755342.4</v>
      </c>
      <c r="W27" s="119"/>
      <c r="X27" s="119">
        <f>SUM(D27:V27)</f>
        <v>-234338309.39000002</v>
      </c>
    </row>
    <row r="28" spans="1:26" s="122" customFormat="1" hidden="1" x14ac:dyDescent="0.45">
      <c r="A28" s="215" t="s">
        <v>291</v>
      </c>
      <c r="B28" s="121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</row>
    <row r="29" spans="1:26" s="122" customFormat="1" hidden="1" x14ac:dyDescent="0.45">
      <c r="A29" s="215" t="s">
        <v>292</v>
      </c>
      <c r="B29" s="121"/>
      <c r="D29" s="119">
        <v>0</v>
      </c>
      <c r="E29" s="119"/>
      <c r="F29" s="119">
        <v>0</v>
      </c>
      <c r="G29" s="119"/>
      <c r="H29" s="119">
        <v>0</v>
      </c>
      <c r="I29" s="119"/>
      <c r="J29" s="119">
        <v>0</v>
      </c>
      <c r="K29" s="119"/>
      <c r="L29" s="119">
        <v>0</v>
      </c>
      <c r="M29" s="119"/>
      <c r="N29" s="119">
        <v>0</v>
      </c>
      <c r="O29" s="119"/>
      <c r="P29" s="119">
        <v>0</v>
      </c>
      <c r="Q29" s="119"/>
      <c r="R29" s="119">
        <v>0</v>
      </c>
      <c r="S29" s="119"/>
      <c r="T29" s="119">
        <v>0</v>
      </c>
      <c r="U29" s="119"/>
      <c r="V29" s="119">
        <f>-T29</f>
        <v>0</v>
      </c>
      <c r="W29" s="119"/>
      <c r="X29" s="119">
        <f>SUM(D29:V29)</f>
        <v>0</v>
      </c>
    </row>
    <row r="30" spans="1:26" s="122" customFormat="1" x14ac:dyDescent="0.45">
      <c r="A30" s="215" t="s">
        <v>291</v>
      </c>
      <c r="B30" s="121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</row>
    <row r="31" spans="1:26" s="122" customFormat="1" x14ac:dyDescent="0.45">
      <c r="A31" s="215" t="s">
        <v>292</v>
      </c>
      <c r="B31" s="121"/>
      <c r="D31" s="119">
        <v>0</v>
      </c>
      <c r="E31" s="119"/>
      <c r="F31" s="119"/>
      <c r="G31" s="119"/>
      <c r="H31" s="119">
        <v>0</v>
      </c>
      <c r="I31" s="119"/>
      <c r="J31" s="119"/>
      <c r="K31" s="119"/>
      <c r="L31" s="119"/>
      <c r="M31" s="119"/>
      <c r="N31" s="119"/>
      <c r="O31" s="119"/>
      <c r="P31" s="119"/>
      <c r="Q31" s="119"/>
      <c r="R31" s="119">
        <v>0</v>
      </c>
      <c r="S31" s="119"/>
      <c r="T31" s="119">
        <v>-2755342.4</v>
      </c>
      <c r="U31" s="119"/>
      <c r="V31" s="119">
        <f>-V27</f>
        <v>2755342.4</v>
      </c>
      <c r="W31" s="119"/>
      <c r="X31" s="119">
        <f>SUM(D31:V31)</f>
        <v>0</v>
      </c>
    </row>
    <row r="32" spans="1:26" ht="7.5" customHeight="1" x14ac:dyDescent="0.45">
      <c r="B32" s="219"/>
      <c r="D32" s="136"/>
      <c r="E32" s="122"/>
      <c r="F32" s="136"/>
      <c r="G32" s="119"/>
      <c r="H32" s="136"/>
      <c r="I32" s="122"/>
      <c r="J32" s="136"/>
      <c r="K32" s="119"/>
      <c r="L32" s="136"/>
      <c r="M32" s="119"/>
      <c r="N32" s="136"/>
      <c r="O32" s="119"/>
      <c r="P32" s="136"/>
      <c r="Q32" s="122"/>
      <c r="R32" s="136"/>
      <c r="S32" s="122"/>
      <c r="T32" s="136"/>
      <c r="U32" s="119"/>
      <c r="V32" s="136"/>
      <c r="W32" s="119"/>
      <c r="X32" s="136"/>
    </row>
    <row r="33" spans="1:28" ht="21.75" thickBot="1" x14ac:dyDescent="0.5">
      <c r="A33" s="225" t="s">
        <v>386</v>
      </c>
      <c r="B33" s="219"/>
      <c r="D33" s="137">
        <f>SUM(D23:D32)</f>
        <v>1350102558.8800001</v>
      </c>
      <c r="E33" s="122"/>
      <c r="F33" s="137">
        <f>SUM(F23:F32)</f>
        <v>0</v>
      </c>
      <c r="G33" s="119"/>
      <c r="H33" s="137">
        <f>SUM(H23:H32)</f>
        <v>1344904738.7199998</v>
      </c>
      <c r="I33" s="122"/>
      <c r="J33" s="137">
        <f>SUM(J23:J32)</f>
        <v>0</v>
      </c>
      <c r="K33" s="119"/>
      <c r="L33" s="137">
        <f>SUM(L27:L27)</f>
        <v>0</v>
      </c>
      <c r="M33" s="119"/>
      <c r="N33" s="137">
        <f>SUM(N27:N27)</f>
        <v>0</v>
      </c>
      <c r="O33" s="119"/>
      <c r="P33" s="137">
        <f>SUM(P27:P27)</f>
        <v>0</v>
      </c>
      <c r="Q33" s="122"/>
      <c r="R33" s="137">
        <f>SUM(R23:R32)</f>
        <v>111952161.69</v>
      </c>
      <c r="S33" s="122"/>
      <c r="T33" s="137">
        <f>SUM(T23:T32)</f>
        <v>215380107.33000013</v>
      </c>
      <c r="U33" s="119"/>
      <c r="V33" s="137">
        <f>SUM(V23:V32)</f>
        <v>0</v>
      </c>
      <c r="W33" s="119"/>
      <c r="X33" s="137">
        <f>SUM(X23:X32)</f>
        <v>3022339566.6200004</v>
      </c>
      <c r="Y33" s="225"/>
    </row>
    <row r="34" spans="1:28" ht="9.75" customHeight="1" thickTop="1" x14ac:dyDescent="0.45"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</row>
    <row r="35" spans="1:28" x14ac:dyDescent="0.45"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</row>
    <row r="36" spans="1:28" x14ac:dyDescent="0.45">
      <c r="A36" s="229" t="s">
        <v>360</v>
      </c>
    </row>
    <row r="37" spans="1:28" x14ac:dyDescent="0.45">
      <c r="A37" s="230"/>
    </row>
    <row r="38" spans="1:28" s="214" customFormat="1" x14ac:dyDescent="0.45">
      <c r="A38" s="231"/>
      <c r="C38" s="219"/>
      <c r="D38" s="231"/>
      <c r="E38" s="219"/>
      <c r="F38" s="219"/>
      <c r="G38" s="219"/>
      <c r="H38" s="219"/>
      <c r="I38" s="219"/>
      <c r="J38" s="231"/>
      <c r="K38" s="231"/>
      <c r="L38" s="231"/>
      <c r="M38" s="231"/>
      <c r="N38" s="231"/>
      <c r="O38" s="231"/>
      <c r="P38" s="231"/>
      <c r="Q38" s="219"/>
      <c r="R38" s="219"/>
      <c r="S38" s="219"/>
      <c r="T38" s="219"/>
      <c r="U38" s="219"/>
      <c r="V38" s="219"/>
      <c r="W38" s="219"/>
      <c r="X38" s="219"/>
      <c r="Y38" s="219"/>
      <c r="AB38" s="128"/>
    </row>
    <row r="39" spans="1:28" s="214" customFormat="1" x14ac:dyDescent="0.45">
      <c r="A39" s="231" t="s">
        <v>145</v>
      </c>
      <c r="C39" s="219"/>
      <c r="D39" s="231"/>
      <c r="E39" s="219"/>
      <c r="F39" s="219"/>
      <c r="G39" s="219"/>
      <c r="H39" s="219"/>
      <c r="I39" s="219"/>
      <c r="K39" s="231"/>
      <c r="L39" s="231"/>
      <c r="M39" s="231"/>
      <c r="N39" s="231"/>
      <c r="O39" s="231"/>
      <c r="P39" s="231"/>
      <c r="Q39" s="219"/>
      <c r="S39" s="219"/>
      <c r="T39" s="231" t="s">
        <v>145</v>
      </c>
      <c r="U39" s="219"/>
      <c r="V39" s="219"/>
      <c r="W39" s="219"/>
      <c r="X39" s="219"/>
      <c r="Y39" s="219"/>
      <c r="AB39" s="128"/>
    </row>
    <row r="40" spans="1:28" ht="8.25" customHeight="1" x14ac:dyDescent="0.45">
      <c r="A40" s="297"/>
      <c r="B40" s="297"/>
      <c r="C40" s="297"/>
      <c r="D40" s="297"/>
      <c r="E40" s="297"/>
      <c r="F40" s="297"/>
      <c r="G40" s="297"/>
      <c r="H40" s="297"/>
      <c r="I40" s="297"/>
      <c r="J40" s="297"/>
      <c r="K40" s="297"/>
      <c r="L40" s="297"/>
      <c r="M40" s="297"/>
      <c r="N40" s="297"/>
      <c r="O40" s="297"/>
      <c r="P40" s="297"/>
      <c r="Q40" s="297"/>
      <c r="R40" s="297"/>
      <c r="S40" s="297"/>
      <c r="T40" s="297"/>
      <c r="U40" s="297"/>
      <c r="V40" s="297"/>
      <c r="W40" s="297"/>
      <c r="X40" s="297"/>
    </row>
  </sheetData>
  <mergeCells count="8">
    <mergeCell ref="A40:X40"/>
    <mergeCell ref="V1:X1"/>
    <mergeCell ref="R8:T8"/>
    <mergeCell ref="A3:X3"/>
    <mergeCell ref="A4:X4"/>
    <mergeCell ref="A5:X5"/>
    <mergeCell ref="A6:X6"/>
    <mergeCell ref="D7:X7"/>
  </mergeCells>
  <printOptions horizontalCentered="1"/>
  <pageMargins left="0.6" right="0.5" top="0.35" bottom="0.4" header="0.30496063000000001" footer="0.16"/>
  <pageSetup paperSize="9" scale="85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AA220"/>
  <sheetViews>
    <sheetView view="pageBreakPreview" zoomScaleNormal="150" zoomScaleSheetLayoutView="100" workbookViewId="0">
      <selection activeCell="H14" sqref="H14"/>
    </sheetView>
  </sheetViews>
  <sheetFormatPr defaultColWidth="9.140625" defaultRowHeight="18" x14ac:dyDescent="0.4"/>
  <cols>
    <col min="1" max="2" width="2.85546875" style="3" customWidth="1"/>
    <col min="3" max="3" width="39.140625" style="3" bestFit="1" customWidth="1"/>
    <col min="4" max="4" width="6.85546875" style="234" customWidth="1"/>
    <col min="5" max="5" width="0.85546875" style="234" customWidth="1"/>
    <col min="6" max="6" width="14.42578125" style="234" customWidth="1"/>
    <col min="7" max="7" width="0.85546875" style="234" customWidth="1"/>
    <col min="8" max="8" width="14.42578125" style="234" customWidth="1"/>
    <col min="9" max="9" width="0.85546875" style="3" customWidth="1"/>
    <col min="10" max="10" width="14.140625" style="5" customWidth="1"/>
    <col min="11" max="11" width="0.85546875" style="3" customWidth="1"/>
    <col min="12" max="12" width="14.42578125" style="5" customWidth="1"/>
    <col min="13" max="13" width="2.85546875" style="3" customWidth="1"/>
    <col min="14" max="14" width="7.42578125" style="3" customWidth="1"/>
    <col min="15" max="15" width="2.85546875" style="3" customWidth="1"/>
    <col min="16" max="17" width="2.85546875" style="7" customWidth="1"/>
    <col min="18" max="18" width="30.5703125" style="7" customWidth="1"/>
    <col min="19" max="19" width="6.140625" style="233" customWidth="1"/>
    <col min="20" max="20" width="0.85546875" style="233" customWidth="1"/>
    <col min="21" max="21" width="13.140625" style="233" customWidth="1"/>
    <col min="22" max="22" width="0.85546875" style="233" customWidth="1"/>
    <col min="23" max="23" width="12.85546875" style="233" bestFit="1" customWidth="1"/>
    <col min="24" max="24" width="0.85546875" style="7" customWidth="1"/>
    <col min="25" max="25" width="15" style="148" customWidth="1"/>
    <col min="26" max="26" width="0.85546875" style="7" customWidth="1"/>
    <col min="27" max="27" width="14" style="148" customWidth="1"/>
    <col min="28" max="16384" width="9.140625" style="3"/>
  </cols>
  <sheetData>
    <row r="1" spans="1:27" ht="20.100000000000001" customHeight="1" x14ac:dyDescent="0.4">
      <c r="B1" s="7"/>
      <c r="C1" s="7"/>
      <c r="D1" s="23"/>
      <c r="E1" s="23"/>
      <c r="F1" s="13"/>
      <c r="G1" s="23"/>
      <c r="H1" s="13"/>
      <c r="I1" s="7"/>
      <c r="J1" s="305" t="s">
        <v>312</v>
      </c>
      <c r="K1" s="305"/>
      <c r="L1" s="305"/>
      <c r="S1" s="156"/>
      <c r="T1" s="156"/>
      <c r="U1" s="148"/>
      <c r="V1" s="156"/>
      <c r="W1" s="148"/>
      <c r="Y1" s="149"/>
      <c r="Z1" s="149"/>
      <c r="AA1" s="149"/>
    </row>
    <row r="2" spans="1:27" x14ac:dyDescent="0.4">
      <c r="A2" s="291" t="s">
        <v>131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P2" s="306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</row>
    <row r="3" spans="1:27" ht="18" customHeight="1" x14ac:dyDescent="0.4">
      <c r="A3" s="286" t="s">
        <v>367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</row>
    <row r="4" spans="1:27" ht="18" customHeight="1" x14ac:dyDescent="0.4">
      <c r="A4" s="286" t="s">
        <v>372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</row>
    <row r="5" spans="1:27" ht="16.5" customHeight="1" x14ac:dyDescent="0.4">
      <c r="A5" s="7"/>
      <c r="B5" s="7"/>
      <c r="C5" s="19"/>
      <c r="F5" s="303" t="s">
        <v>132</v>
      </c>
      <c r="G5" s="303"/>
      <c r="H5" s="303"/>
      <c r="I5" s="303"/>
      <c r="J5" s="303"/>
      <c r="K5" s="303"/>
      <c r="L5" s="303"/>
      <c r="R5" s="157"/>
      <c r="S5" s="157"/>
      <c r="T5" s="157"/>
      <c r="U5" s="304"/>
      <c r="V5" s="304"/>
      <c r="W5" s="304"/>
      <c r="X5" s="304"/>
      <c r="Y5" s="304"/>
      <c r="Z5" s="304"/>
      <c r="AA5" s="304"/>
    </row>
    <row r="6" spans="1:27" x14ac:dyDescent="0.4">
      <c r="A6" s="7"/>
      <c r="B6" s="7"/>
      <c r="C6" s="7" t="s">
        <v>4</v>
      </c>
      <c r="F6" s="302" t="s">
        <v>203</v>
      </c>
      <c r="G6" s="302"/>
      <c r="H6" s="302"/>
      <c r="J6" s="302" t="s">
        <v>204</v>
      </c>
      <c r="K6" s="302"/>
      <c r="L6" s="302"/>
      <c r="U6" s="304"/>
      <c r="V6" s="304"/>
      <c r="W6" s="304"/>
      <c r="Y6" s="307"/>
      <c r="Z6" s="307"/>
      <c r="AA6" s="307"/>
    </row>
    <row r="7" spans="1:27" x14ac:dyDescent="0.4">
      <c r="A7" s="7"/>
      <c r="B7" s="7"/>
      <c r="C7" s="7"/>
      <c r="F7" s="302" t="s">
        <v>373</v>
      </c>
      <c r="G7" s="302"/>
      <c r="H7" s="302"/>
      <c r="I7" s="1"/>
      <c r="J7" s="302" t="str">
        <f>+F7</f>
        <v>For the three-month period ended June 30</v>
      </c>
      <c r="K7" s="302"/>
      <c r="L7" s="302"/>
      <c r="U7" s="304"/>
      <c r="V7" s="304"/>
      <c r="W7" s="304"/>
      <c r="Y7" s="304"/>
      <c r="Z7" s="304"/>
      <c r="AA7" s="304"/>
    </row>
    <row r="8" spans="1:27" x14ac:dyDescent="0.4">
      <c r="A8" s="7"/>
      <c r="B8" s="7"/>
      <c r="C8" s="7"/>
      <c r="D8" s="235" t="s">
        <v>133</v>
      </c>
      <c r="F8" s="235">
        <v>2025</v>
      </c>
      <c r="H8" s="235">
        <v>2024</v>
      </c>
      <c r="J8" s="235">
        <f>+F8</f>
        <v>2025</v>
      </c>
      <c r="K8" s="234"/>
      <c r="L8" s="235">
        <f>+H8</f>
        <v>2024</v>
      </c>
      <c r="U8" s="158"/>
      <c r="W8" s="158"/>
      <c r="X8" s="236"/>
      <c r="Y8" s="158"/>
      <c r="Z8" s="237"/>
      <c r="AA8" s="158"/>
    </row>
    <row r="9" spans="1:27" x14ac:dyDescent="0.4">
      <c r="A9" s="238" t="s">
        <v>156</v>
      </c>
      <c r="B9" s="7"/>
      <c r="C9" s="7"/>
      <c r="D9" s="233"/>
      <c r="E9" s="233"/>
      <c r="F9" s="8"/>
      <c r="G9" s="8"/>
      <c r="H9" s="8"/>
      <c r="I9" s="7"/>
      <c r="J9" s="9"/>
      <c r="K9" s="7"/>
      <c r="L9" s="9"/>
      <c r="N9" s="6"/>
      <c r="U9" s="8"/>
      <c r="V9" s="8"/>
      <c r="W9" s="8"/>
    </row>
    <row r="10" spans="1:27" x14ac:dyDescent="0.4">
      <c r="A10" s="7"/>
      <c r="B10" s="7" t="s">
        <v>223</v>
      </c>
      <c r="C10" s="7"/>
      <c r="D10" s="233"/>
      <c r="E10" s="233"/>
      <c r="F10" s="134">
        <v>18504704.400000002</v>
      </c>
      <c r="G10" s="239"/>
      <c r="H10" s="151">
        <v>4548974.1399999997</v>
      </c>
      <c r="I10" s="240"/>
      <c r="J10" s="16">
        <v>18951875.760000002</v>
      </c>
      <c r="K10" s="240"/>
      <c r="L10" s="152">
        <v>3959471.16</v>
      </c>
      <c r="M10" s="6"/>
      <c r="N10" s="6"/>
      <c r="U10" s="154"/>
      <c r="V10" s="239"/>
      <c r="W10" s="154"/>
      <c r="X10" s="240"/>
      <c r="Y10" s="152"/>
      <c r="Z10" s="240"/>
      <c r="AA10" s="152"/>
    </row>
    <row r="11" spans="1:27" x14ac:dyDescent="0.4">
      <c r="A11" s="7"/>
      <c r="B11" s="7" t="s">
        <v>352</v>
      </c>
      <c r="C11" s="7"/>
      <c r="D11" s="233"/>
      <c r="E11" s="233"/>
      <c r="F11" s="134">
        <v>409018.25</v>
      </c>
      <c r="G11" s="239"/>
      <c r="H11" s="151">
        <v>44574366.719999999</v>
      </c>
      <c r="I11" s="240"/>
      <c r="J11" s="169">
        <v>4567.38</v>
      </c>
      <c r="K11" s="241"/>
      <c r="L11" s="169">
        <v>3812.3100000000004</v>
      </c>
      <c r="M11" s="6"/>
      <c r="N11" s="6"/>
      <c r="U11" s="154"/>
      <c r="V11" s="239"/>
      <c r="W11" s="154"/>
      <c r="X11" s="240"/>
      <c r="Y11" s="152"/>
      <c r="Z11" s="240"/>
      <c r="AA11" s="152"/>
    </row>
    <row r="12" spans="1:27" x14ac:dyDescent="0.4">
      <c r="A12" s="7"/>
      <c r="B12" s="7" t="s">
        <v>316</v>
      </c>
      <c r="C12" s="7"/>
      <c r="D12" s="233">
        <v>6</v>
      </c>
      <c r="E12" s="233"/>
      <c r="F12" s="134">
        <v>22800951.050000001</v>
      </c>
      <c r="G12" s="239"/>
      <c r="H12" s="151">
        <v>45674907.039999999</v>
      </c>
      <c r="I12" s="240"/>
      <c r="J12" s="11">
        <v>7395.9500000000025</v>
      </c>
      <c r="K12" s="240"/>
      <c r="L12" s="153">
        <v>15012.1</v>
      </c>
      <c r="M12" s="6"/>
      <c r="N12" s="6"/>
      <c r="U12" s="154"/>
      <c r="V12" s="239"/>
      <c r="W12" s="154"/>
      <c r="X12" s="240"/>
      <c r="Y12" s="152"/>
      <c r="Z12" s="240"/>
      <c r="AA12" s="152"/>
    </row>
    <row r="13" spans="1:27" x14ac:dyDescent="0.4">
      <c r="A13" s="7"/>
      <c r="B13" s="7" t="s">
        <v>330</v>
      </c>
      <c r="C13" s="7"/>
      <c r="D13" s="233"/>
      <c r="E13" s="233"/>
      <c r="F13" s="134">
        <v>5000000</v>
      </c>
      <c r="G13" s="239"/>
      <c r="H13" s="134">
        <v>4000000</v>
      </c>
      <c r="I13" s="240"/>
      <c r="J13" s="11">
        <v>5000000</v>
      </c>
      <c r="K13" s="240"/>
      <c r="L13" s="11">
        <v>4000000</v>
      </c>
      <c r="M13" s="6"/>
      <c r="N13" s="6"/>
      <c r="U13" s="154"/>
      <c r="V13" s="239"/>
      <c r="W13" s="154"/>
      <c r="X13" s="240"/>
      <c r="Y13" s="152"/>
      <c r="Z13" s="240"/>
      <c r="AA13" s="152"/>
    </row>
    <row r="14" spans="1:27" x14ac:dyDescent="0.4">
      <c r="A14" s="7"/>
      <c r="B14" s="7" t="s">
        <v>158</v>
      </c>
      <c r="C14" s="7"/>
      <c r="D14" s="233"/>
      <c r="E14" s="233"/>
      <c r="F14" s="134">
        <v>21475218.329999994</v>
      </c>
      <c r="G14" s="239"/>
      <c r="H14" s="151">
        <v>9959247.6400000006</v>
      </c>
      <c r="I14" s="240"/>
      <c r="J14" s="16">
        <v>35610679.669999994</v>
      </c>
      <c r="K14" s="240"/>
      <c r="L14" s="152">
        <v>25574446.079999998</v>
      </c>
      <c r="M14" s="6"/>
      <c r="N14" s="6"/>
      <c r="U14" s="154"/>
      <c r="V14" s="239"/>
      <c r="W14" s="154"/>
      <c r="X14" s="240"/>
      <c r="Y14" s="152"/>
      <c r="Z14" s="240"/>
      <c r="AA14" s="152"/>
    </row>
    <row r="15" spans="1:27" x14ac:dyDescent="0.4">
      <c r="A15" s="7"/>
      <c r="B15" s="7" t="s">
        <v>157</v>
      </c>
      <c r="C15" s="7"/>
      <c r="D15" s="233"/>
      <c r="E15" s="233"/>
      <c r="F15" s="242"/>
      <c r="G15" s="242"/>
      <c r="H15" s="242"/>
      <c r="I15" s="240"/>
      <c r="J15" s="11"/>
      <c r="K15" s="240"/>
      <c r="L15" s="11"/>
      <c r="M15" s="6"/>
      <c r="N15" s="6"/>
      <c r="U15" s="242"/>
      <c r="V15" s="242"/>
      <c r="W15" s="242"/>
      <c r="X15" s="240"/>
      <c r="Y15" s="152"/>
      <c r="Z15" s="240"/>
      <c r="AA15" s="152"/>
    </row>
    <row r="16" spans="1:27" x14ac:dyDescent="0.4">
      <c r="A16" s="7"/>
      <c r="B16" s="7"/>
      <c r="C16" s="6" t="s">
        <v>317</v>
      </c>
      <c r="D16" s="233"/>
      <c r="E16" s="233"/>
      <c r="F16" s="242">
        <v>0</v>
      </c>
      <c r="G16" s="242"/>
      <c r="H16" s="153">
        <v>16027369.379999999</v>
      </c>
      <c r="I16" s="240"/>
      <c r="J16" s="11">
        <v>0</v>
      </c>
      <c r="K16" s="240"/>
      <c r="L16" s="153">
        <v>16027361.5</v>
      </c>
      <c r="M16" s="6"/>
      <c r="N16" s="6"/>
      <c r="U16" s="152"/>
      <c r="V16" s="242"/>
      <c r="W16" s="152"/>
      <c r="X16" s="240"/>
      <c r="Y16" s="152"/>
      <c r="Z16" s="240"/>
      <c r="AA16" s="152"/>
    </row>
    <row r="17" spans="1:27" x14ac:dyDescent="0.4">
      <c r="A17" s="7"/>
      <c r="B17" s="7"/>
      <c r="C17" s="7" t="s">
        <v>138</v>
      </c>
      <c r="D17" s="243"/>
      <c r="E17" s="243"/>
      <c r="F17" s="134">
        <v>1285.6799999999348</v>
      </c>
      <c r="G17" s="239"/>
      <c r="H17" s="151">
        <v>431691.32</v>
      </c>
      <c r="I17" s="240"/>
      <c r="J17" s="11">
        <v>1285.6799999999348</v>
      </c>
      <c r="K17" s="240"/>
      <c r="L17" s="153">
        <v>431691.32</v>
      </c>
      <c r="M17" s="6"/>
      <c r="N17" s="6"/>
      <c r="S17" s="243"/>
      <c r="T17" s="243"/>
      <c r="U17" s="154"/>
      <c r="V17" s="239"/>
      <c r="W17" s="154"/>
      <c r="X17" s="240"/>
      <c r="Y17" s="152"/>
      <c r="Z17" s="240"/>
      <c r="AA17" s="152"/>
    </row>
    <row r="18" spans="1:27" x14ac:dyDescent="0.4">
      <c r="A18" s="7"/>
      <c r="B18" s="7"/>
      <c r="C18" s="7" t="s">
        <v>159</v>
      </c>
      <c r="D18" s="233"/>
      <c r="E18" s="233"/>
      <c r="F18" s="133">
        <f>SUM(F10:F17)</f>
        <v>68191177.710000008</v>
      </c>
      <c r="G18" s="239"/>
      <c r="H18" s="133">
        <f>SUM(H10:H17)</f>
        <v>125216556.23999999</v>
      </c>
      <c r="I18" s="240"/>
      <c r="J18" s="133">
        <f>SUM(J10:J17)</f>
        <v>59575804.43999999</v>
      </c>
      <c r="K18" s="240"/>
      <c r="L18" s="133">
        <f>SUM(L10:L17)</f>
        <v>50011794.469999999</v>
      </c>
      <c r="M18" s="6"/>
      <c r="N18" s="6"/>
      <c r="U18" s="152"/>
      <c r="V18" s="239"/>
      <c r="W18" s="152"/>
      <c r="X18" s="240"/>
      <c r="Y18" s="152"/>
      <c r="Z18" s="240"/>
      <c r="AA18" s="152"/>
    </row>
    <row r="19" spans="1:27" x14ac:dyDescent="0.4">
      <c r="A19" s="7" t="s">
        <v>160</v>
      </c>
      <c r="B19" s="7"/>
      <c r="C19" s="7"/>
      <c r="D19" s="233"/>
      <c r="E19" s="233"/>
      <c r="F19" s="239"/>
      <c r="G19" s="239"/>
      <c r="H19" s="239"/>
      <c r="I19" s="240"/>
      <c r="J19" s="11"/>
      <c r="K19" s="240"/>
      <c r="L19" s="11"/>
      <c r="M19" s="6"/>
      <c r="N19" s="6"/>
      <c r="U19" s="154"/>
      <c r="V19" s="239"/>
      <c r="W19" s="154"/>
      <c r="X19" s="240"/>
      <c r="Y19" s="152"/>
      <c r="Z19" s="240"/>
      <c r="AA19" s="152"/>
    </row>
    <row r="20" spans="1:27" x14ac:dyDescent="0.4">
      <c r="A20" s="7"/>
      <c r="B20" s="7" t="s">
        <v>251</v>
      </c>
      <c r="C20" s="7"/>
      <c r="D20" s="233"/>
      <c r="E20" s="233"/>
      <c r="F20" s="239">
        <v>21000815.18</v>
      </c>
      <c r="G20" s="239"/>
      <c r="H20" s="134">
        <v>17325945.16</v>
      </c>
      <c r="I20" s="240"/>
      <c r="J20" s="11">
        <v>20773254.600000001</v>
      </c>
      <c r="K20" s="240"/>
      <c r="L20" s="11">
        <v>17106330.289999999</v>
      </c>
      <c r="M20" s="6"/>
      <c r="N20" s="6"/>
      <c r="U20" s="154"/>
      <c r="V20" s="239"/>
      <c r="W20" s="154"/>
      <c r="X20" s="240"/>
      <c r="Y20" s="152"/>
      <c r="Z20" s="240"/>
      <c r="AA20" s="152"/>
    </row>
    <row r="21" spans="1:27" x14ac:dyDescent="0.4">
      <c r="A21" s="7"/>
      <c r="B21" s="7" t="s">
        <v>351</v>
      </c>
      <c r="C21" s="7"/>
      <c r="D21" s="233"/>
      <c r="E21" s="233"/>
      <c r="F21" s="239"/>
      <c r="G21" s="239"/>
      <c r="H21" s="134"/>
      <c r="I21" s="240"/>
      <c r="J21" s="11"/>
      <c r="K21" s="240"/>
      <c r="L21" s="11"/>
      <c r="M21" s="6"/>
      <c r="N21" s="6"/>
      <c r="U21" s="154"/>
      <c r="V21" s="239"/>
      <c r="W21" s="154"/>
      <c r="X21" s="240"/>
      <c r="Y21" s="152"/>
      <c r="Z21" s="240"/>
      <c r="AA21" s="152"/>
    </row>
    <row r="22" spans="1:27" x14ac:dyDescent="0.4">
      <c r="A22" s="7"/>
      <c r="B22" s="7"/>
      <c r="C22" s="7" t="s">
        <v>353</v>
      </c>
      <c r="D22" s="233">
        <v>6</v>
      </c>
      <c r="E22" s="233"/>
      <c r="F22" s="177">
        <v>408660.27</v>
      </c>
      <c r="G22" s="239"/>
      <c r="H22" s="134">
        <v>51926298.060000002</v>
      </c>
      <c r="I22" s="240"/>
      <c r="J22" s="170">
        <v>4667.17</v>
      </c>
      <c r="K22" s="241"/>
      <c r="L22" s="134">
        <v>3910.7799999999997</v>
      </c>
      <c r="M22" s="6"/>
      <c r="N22" s="6"/>
      <c r="U22" s="152"/>
      <c r="V22" s="239"/>
      <c r="W22" s="152"/>
      <c r="X22" s="240"/>
      <c r="Y22" s="152"/>
      <c r="Z22" s="240"/>
      <c r="AA22" s="152"/>
    </row>
    <row r="23" spans="1:27" x14ac:dyDescent="0.4">
      <c r="A23" s="7"/>
      <c r="B23" s="7"/>
      <c r="C23" s="7" t="s">
        <v>354</v>
      </c>
      <c r="D23" s="233">
        <v>6</v>
      </c>
      <c r="E23" s="233"/>
      <c r="F23" s="239">
        <v>-11487973.700000018</v>
      </c>
      <c r="G23" s="239"/>
      <c r="H23" s="134">
        <v>93450111.319999993</v>
      </c>
      <c r="I23" s="240"/>
      <c r="J23" s="11">
        <v>8868.8799999999992</v>
      </c>
      <c r="K23" s="240"/>
      <c r="L23" s="11">
        <v>10696.779999999999</v>
      </c>
      <c r="M23" s="6"/>
      <c r="N23" s="6"/>
      <c r="S23" s="244"/>
      <c r="T23" s="232"/>
      <c r="U23" s="154"/>
      <c r="V23" s="239"/>
      <c r="W23" s="154"/>
      <c r="X23" s="240"/>
      <c r="Y23" s="152"/>
      <c r="Z23" s="240"/>
      <c r="AA23" s="152"/>
    </row>
    <row r="24" spans="1:27" x14ac:dyDescent="0.4">
      <c r="A24" s="7"/>
      <c r="B24" s="7" t="s">
        <v>210</v>
      </c>
      <c r="C24" s="7"/>
      <c r="D24" s="232"/>
      <c r="E24" s="232"/>
      <c r="F24" s="239">
        <v>176485989.26999998</v>
      </c>
      <c r="G24" s="239"/>
      <c r="H24" s="134">
        <v>23696510.59</v>
      </c>
      <c r="I24" s="240"/>
      <c r="J24" s="11">
        <v>173620160.88999999</v>
      </c>
      <c r="K24" s="240"/>
      <c r="L24" s="11">
        <v>18741016.579999998</v>
      </c>
      <c r="M24" s="6"/>
      <c r="N24" s="6"/>
      <c r="T24" s="232"/>
      <c r="U24" s="154"/>
      <c r="V24" s="239"/>
      <c r="W24" s="154"/>
      <c r="X24" s="240"/>
      <c r="Y24" s="152"/>
      <c r="Z24" s="240"/>
      <c r="AA24" s="152"/>
    </row>
    <row r="25" spans="1:27" x14ac:dyDescent="0.4">
      <c r="A25" s="7"/>
      <c r="B25" s="7" t="s">
        <v>371</v>
      </c>
      <c r="C25" s="7"/>
      <c r="D25" s="232"/>
      <c r="E25" s="232"/>
      <c r="F25" s="239">
        <v>0</v>
      </c>
      <c r="G25" s="239"/>
      <c r="H25" s="134">
        <v>94560.26</v>
      </c>
      <c r="I25" s="240"/>
      <c r="J25" s="11">
        <v>0</v>
      </c>
      <c r="K25" s="240"/>
      <c r="L25" s="11">
        <v>0</v>
      </c>
      <c r="M25" s="6"/>
      <c r="N25" s="6"/>
      <c r="T25" s="232"/>
      <c r="U25" s="154"/>
      <c r="V25" s="239"/>
      <c r="W25" s="154"/>
      <c r="X25" s="240"/>
      <c r="Y25" s="152"/>
      <c r="Z25" s="240"/>
      <c r="AA25" s="152"/>
    </row>
    <row r="26" spans="1:27" x14ac:dyDescent="0.4">
      <c r="A26" s="7"/>
      <c r="B26" s="7" t="s">
        <v>303</v>
      </c>
      <c r="C26" s="7"/>
      <c r="D26" s="233">
        <v>8.4</v>
      </c>
      <c r="E26" s="232"/>
      <c r="F26" s="239">
        <v>37263001.220000029</v>
      </c>
      <c r="G26" s="239"/>
      <c r="H26" s="134">
        <v>332221658.60000002</v>
      </c>
      <c r="I26" s="240"/>
      <c r="J26" s="11">
        <v>33631061.700000003</v>
      </c>
      <c r="K26" s="240"/>
      <c r="L26" s="11">
        <v>21386281.899999999</v>
      </c>
      <c r="M26" s="6"/>
      <c r="N26" s="6"/>
      <c r="T26" s="232"/>
      <c r="U26" s="154"/>
      <c r="V26" s="239"/>
      <c r="W26" s="154"/>
      <c r="X26" s="240"/>
      <c r="Y26" s="152"/>
      <c r="Z26" s="240"/>
      <c r="AA26" s="152"/>
    </row>
    <row r="27" spans="1:27" hidden="1" x14ac:dyDescent="0.4">
      <c r="A27" s="7"/>
      <c r="B27" s="7" t="s">
        <v>329</v>
      </c>
      <c r="C27" s="7"/>
      <c r="D27" s="233"/>
      <c r="E27" s="232"/>
      <c r="F27" s="239"/>
      <c r="G27" s="239"/>
      <c r="H27" s="151"/>
      <c r="I27" s="240"/>
      <c r="J27" s="11"/>
      <c r="K27" s="240"/>
      <c r="L27" s="153"/>
      <c r="M27" s="6"/>
      <c r="N27" s="6"/>
      <c r="T27" s="232"/>
      <c r="U27" s="154"/>
      <c r="V27" s="239"/>
      <c r="W27" s="154"/>
      <c r="X27" s="240"/>
      <c r="Y27" s="152"/>
      <c r="Z27" s="240"/>
      <c r="AA27" s="152"/>
    </row>
    <row r="28" spans="1:27" hidden="1" x14ac:dyDescent="0.4">
      <c r="A28" s="7"/>
      <c r="B28" s="7" t="s">
        <v>306</v>
      </c>
      <c r="C28" s="7"/>
      <c r="D28" s="233"/>
      <c r="E28" s="232"/>
      <c r="F28" s="134"/>
      <c r="G28" s="239"/>
      <c r="H28" s="134"/>
      <c r="I28" s="240"/>
      <c r="J28" s="11"/>
      <c r="K28" s="240"/>
      <c r="L28" s="11"/>
      <c r="M28" s="6"/>
      <c r="N28" s="6"/>
      <c r="U28" s="152"/>
      <c r="V28" s="239"/>
      <c r="W28" s="152"/>
      <c r="X28" s="240"/>
      <c r="Y28" s="152"/>
      <c r="Z28" s="240"/>
      <c r="AA28" s="152"/>
    </row>
    <row r="29" spans="1:27" x14ac:dyDescent="0.4">
      <c r="A29" s="7"/>
      <c r="B29" s="7"/>
      <c r="C29" s="7" t="s">
        <v>161</v>
      </c>
      <c r="D29" s="233"/>
      <c r="E29" s="233"/>
      <c r="F29" s="133">
        <f>SUM(F20:F28)</f>
        <v>223670492.23999998</v>
      </c>
      <c r="G29" s="134"/>
      <c r="H29" s="133">
        <f>SUM(H20:H28)</f>
        <v>518715083.99000001</v>
      </c>
      <c r="I29" s="11"/>
      <c r="J29" s="133">
        <f>SUM(J20:J28)</f>
        <v>228038013.24000001</v>
      </c>
      <c r="K29" s="11"/>
      <c r="L29" s="133">
        <f>SUM(L20:L28)</f>
        <v>57248236.329999998</v>
      </c>
      <c r="M29" s="6"/>
      <c r="N29" s="6"/>
      <c r="S29" s="156"/>
      <c r="T29" s="156"/>
      <c r="U29" s="152"/>
      <c r="V29" s="154"/>
      <c r="W29" s="152"/>
      <c r="X29" s="240"/>
      <c r="Y29" s="152"/>
      <c r="Z29" s="240"/>
      <c r="AA29" s="152"/>
    </row>
    <row r="30" spans="1:27" x14ac:dyDescent="0.4">
      <c r="A30" s="7"/>
      <c r="B30" s="7"/>
      <c r="C30" s="7"/>
      <c r="D30" s="233"/>
      <c r="E30" s="233"/>
      <c r="F30" s="239"/>
      <c r="G30" s="239"/>
      <c r="H30" s="239"/>
      <c r="I30" s="240"/>
      <c r="J30" s="11"/>
      <c r="K30" s="240"/>
      <c r="L30" s="11"/>
      <c r="M30" s="6"/>
      <c r="N30" s="6"/>
      <c r="S30" s="156"/>
      <c r="T30" s="156"/>
      <c r="U30" s="152"/>
      <c r="V30" s="154"/>
      <c r="W30" s="152"/>
      <c r="X30" s="240"/>
      <c r="Y30" s="152"/>
      <c r="Z30" s="240"/>
      <c r="AA30" s="152"/>
    </row>
    <row r="31" spans="1:27" x14ac:dyDescent="0.4">
      <c r="A31" s="7" t="s">
        <v>308</v>
      </c>
      <c r="B31" s="7"/>
      <c r="C31" s="7"/>
      <c r="D31" s="233"/>
      <c r="E31" s="233"/>
      <c r="F31" s="239">
        <f>+F18-F29</f>
        <v>-155479314.52999997</v>
      </c>
      <c r="G31" s="239"/>
      <c r="H31" s="239">
        <f>+H18-H29</f>
        <v>-393498527.75</v>
      </c>
      <c r="I31" s="240"/>
      <c r="J31" s="239">
        <f>+J18-J29</f>
        <v>-168462208.80000001</v>
      </c>
      <c r="K31" s="240"/>
      <c r="L31" s="239">
        <f>+L18-L29</f>
        <v>-7236441.8599999994</v>
      </c>
      <c r="M31" s="6"/>
      <c r="N31" s="6"/>
      <c r="P31" s="245"/>
      <c r="T31" s="156"/>
      <c r="U31" s="152"/>
      <c r="V31" s="154"/>
      <c r="W31" s="152"/>
      <c r="X31" s="240"/>
      <c r="Y31" s="152"/>
      <c r="Z31" s="240"/>
      <c r="AA31" s="152"/>
    </row>
    <row r="32" spans="1:27" x14ac:dyDescent="0.4">
      <c r="A32" s="7"/>
      <c r="B32" s="7" t="s">
        <v>211</v>
      </c>
      <c r="C32" s="7"/>
      <c r="D32" s="233"/>
      <c r="E32" s="233"/>
      <c r="F32" s="239">
        <v>3820181.1500000004</v>
      </c>
      <c r="G32" s="239"/>
      <c r="H32" s="11">
        <v>2615088.59</v>
      </c>
      <c r="I32" s="240"/>
      <c r="J32" s="239">
        <v>3872537.3100000005</v>
      </c>
      <c r="K32" s="240"/>
      <c r="L32" s="11">
        <v>2667301.7000000002</v>
      </c>
      <c r="M32" s="6"/>
      <c r="N32" s="6"/>
      <c r="S32" s="156"/>
      <c r="T32" s="156"/>
      <c r="U32" s="152"/>
      <c r="V32" s="154"/>
      <c r="W32" s="152"/>
      <c r="X32" s="240"/>
      <c r="Y32" s="152"/>
      <c r="Z32" s="240"/>
      <c r="AA32" s="152"/>
    </row>
    <row r="33" spans="1:27" ht="18" customHeight="1" x14ac:dyDescent="0.4">
      <c r="A33" s="7"/>
      <c r="B33" s="7" t="s">
        <v>318</v>
      </c>
      <c r="C33" s="7"/>
      <c r="D33" s="244">
        <v>10.199999999999999</v>
      </c>
      <c r="E33" s="232"/>
      <c r="F33" s="246">
        <v>-1615984.81</v>
      </c>
      <c r="G33" s="239"/>
      <c r="H33" s="131">
        <v>-5508527.7400000002</v>
      </c>
      <c r="I33" s="240"/>
      <c r="J33" s="131">
        <v>-1615984.81</v>
      </c>
      <c r="K33" s="240"/>
      <c r="L33" s="131">
        <v>-5508527.7400000002</v>
      </c>
      <c r="M33" s="6"/>
      <c r="N33" s="6"/>
      <c r="U33" s="154"/>
      <c r="V33" s="239"/>
      <c r="W33" s="154"/>
      <c r="X33" s="240"/>
      <c r="Y33" s="152"/>
      <c r="Z33" s="152"/>
      <c r="AA33" s="152"/>
    </row>
    <row r="34" spans="1:27" x14ac:dyDescent="0.4">
      <c r="A34" s="7"/>
      <c r="B34" s="7"/>
      <c r="C34" s="7"/>
      <c r="D34" s="233"/>
      <c r="E34" s="233"/>
      <c r="F34" s="239"/>
      <c r="G34" s="239"/>
      <c r="H34" s="239"/>
      <c r="I34" s="240"/>
      <c r="J34" s="11"/>
      <c r="K34" s="240"/>
      <c r="L34" s="11"/>
      <c r="M34" s="6"/>
      <c r="N34" s="6"/>
      <c r="U34" s="154"/>
      <c r="V34" s="239"/>
      <c r="W34" s="154"/>
      <c r="X34" s="240"/>
      <c r="Y34" s="239"/>
      <c r="Z34" s="152"/>
      <c r="AA34" s="239"/>
    </row>
    <row r="35" spans="1:27" ht="15.75" customHeight="1" x14ac:dyDescent="0.4">
      <c r="A35" s="7" t="s">
        <v>255</v>
      </c>
      <c r="B35" s="7"/>
      <c r="C35" s="7"/>
      <c r="D35" s="23"/>
      <c r="E35" s="23"/>
      <c r="F35" s="11">
        <f>+F31-F32+F33</f>
        <v>-160915480.48999998</v>
      </c>
      <c r="G35" s="134"/>
      <c r="H35" s="11">
        <f>+H31-H32+H33</f>
        <v>-401622144.07999998</v>
      </c>
      <c r="I35" s="240"/>
      <c r="J35" s="11">
        <f>+J31-J32+J33</f>
        <v>-173950730.92000002</v>
      </c>
      <c r="K35" s="240"/>
      <c r="L35" s="11">
        <f>+L31-L32+L33</f>
        <v>-15412271.299999999</v>
      </c>
      <c r="M35" s="6"/>
      <c r="N35" s="6"/>
      <c r="P35" s="247"/>
      <c r="Q35" s="247"/>
      <c r="R35" s="247"/>
      <c r="S35" s="248"/>
      <c r="T35" s="165"/>
      <c r="U35" s="155"/>
      <c r="V35" s="249"/>
      <c r="W35" s="155"/>
      <c r="X35" s="155"/>
      <c r="Y35" s="155"/>
      <c r="Z35" s="249"/>
      <c r="AA35" s="155"/>
    </row>
    <row r="36" spans="1:27" x14ac:dyDescent="0.4">
      <c r="A36" s="7" t="s">
        <v>387</v>
      </c>
      <c r="B36" s="7"/>
      <c r="C36" s="7"/>
      <c r="D36" s="234">
        <v>18.2</v>
      </c>
      <c r="F36" s="140">
        <v>30102864.189999998</v>
      </c>
      <c r="G36" s="239"/>
      <c r="H36" s="140">
        <v>4371103.41</v>
      </c>
      <c r="I36" s="240"/>
      <c r="J36" s="131">
        <v>29971473.370000001</v>
      </c>
      <c r="K36" s="11"/>
      <c r="L36" s="131">
        <v>2451972.9699999997</v>
      </c>
      <c r="M36" s="6"/>
      <c r="N36" s="6"/>
      <c r="P36" s="247"/>
      <c r="Q36" s="247"/>
      <c r="R36" s="247"/>
      <c r="S36" s="248"/>
      <c r="T36" s="250"/>
      <c r="U36" s="154"/>
      <c r="V36" s="239"/>
      <c r="W36" s="154"/>
      <c r="X36" s="239"/>
      <c r="Y36" s="239"/>
      <c r="Z36" s="239"/>
      <c r="AA36" s="239"/>
    </row>
    <row r="37" spans="1:27" ht="18.75" thickBot="1" x14ac:dyDescent="0.45">
      <c r="A37" s="247" t="s">
        <v>162</v>
      </c>
      <c r="B37" s="7"/>
      <c r="C37" s="7"/>
      <c r="D37" s="233"/>
      <c r="E37" s="233"/>
      <c r="F37" s="251">
        <f>SUM(F35:F36)</f>
        <v>-130812616.29999998</v>
      </c>
      <c r="G37" s="239"/>
      <c r="H37" s="251">
        <f>SUM(H35:H36)</f>
        <v>-397251040.66999996</v>
      </c>
      <c r="I37" s="240"/>
      <c r="J37" s="251">
        <f>SUM(J35:J36)</f>
        <v>-143979257.55000001</v>
      </c>
      <c r="K37" s="11"/>
      <c r="L37" s="251">
        <f>SUM(L35:L36)</f>
        <v>-12960298.329999998</v>
      </c>
      <c r="M37" s="6"/>
      <c r="N37" s="6"/>
      <c r="P37" s="247"/>
      <c r="S37" s="248"/>
      <c r="T37" s="250"/>
      <c r="U37" s="154"/>
      <c r="V37" s="152"/>
      <c r="W37" s="154"/>
      <c r="X37" s="155"/>
      <c r="Y37" s="155"/>
      <c r="Z37" s="155"/>
      <c r="AA37" s="155"/>
    </row>
    <row r="38" spans="1:27" ht="10.5" customHeight="1" thickTop="1" x14ac:dyDescent="0.4">
      <c r="A38" s="247"/>
      <c r="B38" s="7"/>
      <c r="C38" s="7"/>
      <c r="D38" s="233"/>
      <c r="E38" s="233"/>
      <c r="F38" s="239"/>
      <c r="G38" s="239"/>
      <c r="H38" s="239"/>
      <c r="I38" s="240"/>
      <c r="J38" s="239"/>
      <c r="K38" s="11"/>
      <c r="L38" s="239"/>
      <c r="M38" s="6"/>
      <c r="N38" s="6"/>
      <c r="P38" s="252"/>
      <c r="Q38" s="252"/>
      <c r="R38" s="252"/>
      <c r="S38" s="248"/>
      <c r="T38" s="250"/>
      <c r="U38" s="154"/>
      <c r="V38" s="249"/>
      <c r="W38" s="154"/>
      <c r="X38" s="249"/>
      <c r="Y38" s="239"/>
      <c r="Z38" s="249"/>
      <c r="AA38" s="239"/>
    </row>
    <row r="39" spans="1:27" x14ac:dyDescent="0.4">
      <c r="A39" s="247" t="s">
        <v>237</v>
      </c>
      <c r="B39" s="253"/>
      <c r="C39" s="247"/>
      <c r="D39" s="233"/>
      <c r="E39" s="233"/>
      <c r="F39" s="239"/>
      <c r="G39" s="239"/>
      <c r="H39" s="239"/>
      <c r="I39" s="240"/>
      <c r="J39" s="239"/>
      <c r="K39" s="11"/>
      <c r="L39" s="239"/>
      <c r="M39" s="6"/>
      <c r="N39" s="6"/>
      <c r="S39" s="254"/>
      <c r="U39" s="239"/>
      <c r="V39" s="239"/>
      <c r="W39" s="239"/>
      <c r="X39" s="240"/>
      <c r="Y39" s="152"/>
      <c r="Z39" s="240"/>
      <c r="AA39" s="152"/>
    </row>
    <row r="40" spans="1:27" ht="15" customHeight="1" x14ac:dyDescent="0.4">
      <c r="A40" s="247"/>
      <c r="B40" s="247" t="s">
        <v>238</v>
      </c>
      <c r="C40" s="247"/>
      <c r="D40" s="233"/>
      <c r="E40" s="233"/>
      <c r="F40" s="239">
        <f>+F37-F41</f>
        <v>-130730291.36999997</v>
      </c>
      <c r="G40" s="239"/>
      <c r="H40" s="239">
        <f>+H37-H41</f>
        <v>-397152935.87999994</v>
      </c>
      <c r="I40" s="239"/>
      <c r="J40" s="239">
        <f>J37</f>
        <v>-143979257.55000001</v>
      </c>
      <c r="K40" s="239"/>
      <c r="L40" s="239">
        <f>L37</f>
        <v>-12960298.329999998</v>
      </c>
      <c r="M40" s="6"/>
      <c r="N40" s="6"/>
      <c r="Q40" s="247"/>
      <c r="S40" s="255"/>
      <c r="U40" s="159"/>
      <c r="V40" s="256"/>
      <c r="W40" s="159"/>
      <c r="X40" s="257"/>
      <c r="Y40" s="159"/>
      <c r="Z40" s="257"/>
      <c r="AA40" s="159"/>
    </row>
    <row r="41" spans="1:27" x14ac:dyDescent="0.4">
      <c r="A41" s="247"/>
      <c r="B41" s="7" t="s">
        <v>231</v>
      </c>
      <c r="C41" s="7"/>
      <c r="D41" s="233"/>
      <c r="E41" s="233"/>
      <c r="F41" s="246">
        <v>-82324.929999999993</v>
      </c>
      <c r="G41" s="16"/>
      <c r="H41" s="18">
        <v>-98104.79</v>
      </c>
      <c r="I41" s="166"/>
      <c r="J41" s="167">
        <v>0</v>
      </c>
      <c r="K41" s="166"/>
      <c r="L41" s="167">
        <v>0</v>
      </c>
      <c r="M41" s="6"/>
      <c r="N41" s="6"/>
      <c r="U41" s="160"/>
      <c r="V41" s="258"/>
      <c r="W41" s="160"/>
      <c r="X41" s="258"/>
      <c r="Y41" s="160"/>
      <c r="Z41" s="258"/>
      <c r="AA41" s="160"/>
    </row>
    <row r="42" spans="1:27" ht="18.75" thickBot="1" x14ac:dyDescent="0.45">
      <c r="A42" s="7"/>
      <c r="B42" s="7"/>
      <c r="C42" s="7"/>
      <c r="D42" s="23"/>
      <c r="E42" s="23"/>
      <c r="F42" s="135">
        <f>SUM(F40:F41)</f>
        <v>-130812616.29999998</v>
      </c>
      <c r="G42" s="134"/>
      <c r="H42" s="135">
        <f>SUM(H40:H41)</f>
        <v>-397251040.66999996</v>
      </c>
      <c r="I42" s="240"/>
      <c r="J42" s="135">
        <f>SUM(J40:J41)</f>
        <v>-143979257.55000001</v>
      </c>
      <c r="K42" s="240"/>
      <c r="L42" s="135">
        <f>SUM(L40:L41)</f>
        <v>-12960298.329999998</v>
      </c>
      <c r="M42" s="6"/>
      <c r="N42" s="6"/>
      <c r="U42" s="239"/>
      <c r="V42" s="239"/>
      <c r="W42" s="239"/>
      <c r="X42" s="240"/>
      <c r="Y42" s="152"/>
      <c r="Z42" s="240"/>
      <c r="AA42" s="152"/>
    </row>
    <row r="43" spans="1:27" ht="9.75" customHeight="1" thickTop="1" x14ac:dyDescent="0.4">
      <c r="A43" s="7"/>
      <c r="B43" s="7"/>
      <c r="C43" s="7"/>
      <c r="D43" s="233"/>
      <c r="E43" s="233"/>
      <c r="F43" s="239"/>
      <c r="G43" s="239"/>
      <c r="H43" s="239"/>
      <c r="I43" s="240"/>
      <c r="J43" s="16"/>
      <c r="K43" s="240"/>
      <c r="L43" s="16"/>
      <c r="M43" s="6"/>
      <c r="N43" s="6"/>
      <c r="Q43" s="247"/>
      <c r="S43" s="255"/>
      <c r="U43" s="159"/>
      <c r="V43" s="256"/>
      <c r="W43" s="159"/>
      <c r="X43" s="257"/>
      <c r="Y43" s="159"/>
      <c r="Z43" s="257"/>
      <c r="AA43" s="159"/>
    </row>
    <row r="44" spans="1:27" ht="14.25" customHeight="1" x14ac:dyDescent="0.4">
      <c r="A44" s="247" t="s">
        <v>245</v>
      </c>
      <c r="B44" s="7"/>
      <c r="C44" s="7"/>
      <c r="D44" s="254"/>
      <c r="E44" s="233"/>
      <c r="F44" s="239"/>
      <c r="G44" s="239"/>
      <c r="H44" s="239"/>
      <c r="I44" s="240"/>
      <c r="J44" s="16"/>
      <c r="K44" s="240"/>
      <c r="L44" s="16"/>
      <c r="M44" s="6"/>
      <c r="N44" s="4"/>
      <c r="U44" s="160"/>
      <c r="V44" s="259"/>
      <c r="W44" s="160"/>
      <c r="X44" s="258"/>
      <c r="Y44" s="160"/>
      <c r="Z44" s="258"/>
      <c r="AA44" s="160"/>
    </row>
    <row r="45" spans="1:27" ht="18.75" thickBot="1" x14ac:dyDescent="0.45">
      <c r="A45" s="7"/>
      <c r="B45" s="247" t="s">
        <v>207</v>
      </c>
      <c r="C45" s="7"/>
      <c r="D45" s="233">
        <v>25</v>
      </c>
      <c r="E45" s="233"/>
      <c r="F45" s="144">
        <f>ROUND((+F40/F46),3)</f>
        <v>-1.2E-2</v>
      </c>
      <c r="G45" s="256"/>
      <c r="H45" s="144">
        <f>ROUND((+H40/H46),3)</f>
        <v>-4.2999999999999997E-2</v>
      </c>
      <c r="I45" s="257"/>
      <c r="J45" s="144">
        <f>ROUND((+J40/J46),3)</f>
        <v>-1.2999999999999999E-2</v>
      </c>
      <c r="K45" s="257"/>
      <c r="L45" s="144">
        <f>ROUND((+L40/L46),3)</f>
        <v>-1E-3</v>
      </c>
      <c r="M45" s="6"/>
      <c r="N45" s="4"/>
      <c r="U45" s="242"/>
      <c r="V45" s="242"/>
      <c r="W45" s="242"/>
      <c r="X45" s="240"/>
      <c r="Y45" s="152"/>
      <c r="Z45" s="240"/>
      <c r="AA45" s="152"/>
    </row>
    <row r="46" spans="1:27" ht="19.5" thickTop="1" thickBot="1" x14ac:dyDescent="0.45">
      <c r="A46" s="7"/>
      <c r="B46" s="247" t="s">
        <v>163</v>
      </c>
      <c r="C46" s="7"/>
      <c r="D46" s="233"/>
      <c r="E46" s="233"/>
      <c r="F46" s="143">
        <v>10800820471</v>
      </c>
      <c r="G46" s="260"/>
      <c r="H46" s="143">
        <v>9315208558</v>
      </c>
      <c r="I46" s="258"/>
      <c r="J46" s="143">
        <v>10800820471</v>
      </c>
      <c r="K46" s="260"/>
      <c r="L46" s="143">
        <v>9315208558</v>
      </c>
      <c r="M46" s="6"/>
      <c r="N46" s="4"/>
      <c r="U46" s="242"/>
      <c r="V46" s="242"/>
      <c r="W46" s="242"/>
      <c r="X46" s="240"/>
      <c r="Y46" s="152"/>
      <c r="Z46" s="240"/>
      <c r="AA46" s="152"/>
    </row>
    <row r="47" spans="1:27" ht="18.75" thickTop="1" x14ac:dyDescent="0.4">
      <c r="A47" s="7"/>
      <c r="B47" s="7"/>
      <c r="C47" s="7"/>
      <c r="D47" s="233"/>
      <c r="E47" s="233"/>
      <c r="F47" s="242"/>
      <c r="G47" s="242"/>
      <c r="H47" s="242"/>
      <c r="I47" s="240"/>
      <c r="J47" s="11"/>
      <c r="K47" s="240"/>
      <c r="L47" s="11"/>
      <c r="M47" s="6"/>
      <c r="N47" s="6"/>
      <c r="U47" s="242"/>
      <c r="V47" s="242"/>
      <c r="W47" s="242"/>
      <c r="X47" s="240"/>
      <c r="Y47" s="152"/>
      <c r="Z47" s="240"/>
      <c r="AA47" s="152"/>
    </row>
    <row r="48" spans="1:27" x14ac:dyDescent="0.4">
      <c r="A48" s="247" t="s">
        <v>246</v>
      </c>
      <c r="B48" s="7"/>
      <c r="C48" s="7"/>
      <c r="D48" s="254"/>
      <c r="E48" s="233"/>
      <c r="F48" s="239"/>
      <c r="G48" s="239"/>
      <c r="H48" s="239"/>
      <c r="I48" s="240"/>
      <c r="J48" s="16"/>
      <c r="K48" s="240"/>
      <c r="L48" s="16"/>
      <c r="M48" s="6"/>
      <c r="N48" s="4"/>
    </row>
    <row r="49" spans="1:27" ht="18.75" thickBot="1" x14ac:dyDescent="0.45">
      <c r="A49" s="7"/>
      <c r="B49" s="247" t="s">
        <v>207</v>
      </c>
      <c r="C49" s="7"/>
      <c r="D49" s="233">
        <v>25</v>
      </c>
      <c r="E49" s="233"/>
      <c r="F49" s="144">
        <f>ROUND((+F40/F50),3)</f>
        <v>-1.7000000000000001E-2</v>
      </c>
      <c r="G49" s="256"/>
      <c r="H49" s="144">
        <f>ROUND((+H40/H50),3)</f>
        <v>-4.9000000000000002E-2</v>
      </c>
      <c r="I49" s="257"/>
      <c r="J49" s="144">
        <f>ROUND((+J40/J50),3)</f>
        <v>-1.7999999999999999E-2</v>
      </c>
      <c r="K49" s="257"/>
      <c r="L49" s="144">
        <f>ROUND((+L40/L50),3)</f>
        <v>-2E-3</v>
      </c>
      <c r="M49" s="6"/>
      <c r="N49" s="4"/>
      <c r="Q49" s="261"/>
      <c r="R49" s="233"/>
      <c r="S49" s="261"/>
      <c r="U49" s="261"/>
      <c r="X49" s="233"/>
      <c r="Y49" s="233"/>
      <c r="Z49" s="233"/>
      <c r="AA49" s="233"/>
    </row>
    <row r="50" spans="1:27" ht="16.5" customHeight="1" thickTop="1" thickBot="1" x14ac:dyDescent="0.45">
      <c r="A50" s="7"/>
      <c r="B50" s="247" t="s">
        <v>163</v>
      </c>
      <c r="C50" s="7"/>
      <c r="D50" s="233"/>
      <c r="E50" s="233"/>
      <c r="F50" s="143">
        <v>7872675935.9544392</v>
      </c>
      <c r="G50" s="259"/>
      <c r="H50" s="143">
        <v>8050325473</v>
      </c>
      <c r="I50" s="258"/>
      <c r="J50" s="143">
        <v>7872675935.9544392</v>
      </c>
      <c r="K50" s="260"/>
      <c r="L50" s="143">
        <v>8050325473</v>
      </c>
      <c r="M50" s="6"/>
      <c r="N50" s="4"/>
      <c r="P50" s="233"/>
      <c r="S50" s="7"/>
      <c r="T50" s="7"/>
      <c r="U50" s="7"/>
      <c r="V50" s="7"/>
      <c r="W50" s="7"/>
      <c r="Y50" s="7"/>
      <c r="AA50" s="7"/>
    </row>
    <row r="51" spans="1:27" ht="18.75" thickTop="1" x14ac:dyDescent="0.4">
      <c r="A51" s="7"/>
      <c r="B51" s="7"/>
      <c r="C51" s="7"/>
      <c r="D51" s="233"/>
      <c r="E51" s="233"/>
      <c r="F51" s="233"/>
      <c r="G51" s="233"/>
      <c r="H51" s="233"/>
      <c r="I51" s="7"/>
      <c r="J51" s="9"/>
      <c r="K51" s="7"/>
      <c r="L51" s="9"/>
      <c r="M51" s="6"/>
      <c r="N51" s="4"/>
      <c r="P51" s="233"/>
      <c r="Q51" s="261"/>
      <c r="R51" s="233"/>
      <c r="S51" s="261"/>
      <c r="U51" s="261"/>
      <c r="X51" s="233"/>
      <c r="Y51" s="233"/>
      <c r="Z51" s="233"/>
      <c r="AA51" s="233"/>
    </row>
    <row r="52" spans="1:27" ht="17.25" customHeight="1" x14ac:dyDescent="0.4">
      <c r="A52" s="243" t="s">
        <v>360</v>
      </c>
      <c r="B52" s="7"/>
      <c r="C52" s="7"/>
      <c r="D52" s="233"/>
      <c r="E52" s="233"/>
      <c r="F52" s="233"/>
      <c r="G52" s="233"/>
      <c r="H52" s="233"/>
      <c r="I52" s="7"/>
      <c r="J52" s="9"/>
      <c r="K52" s="7"/>
      <c r="L52" s="9"/>
      <c r="M52" s="6"/>
      <c r="N52" s="4"/>
      <c r="P52" s="306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</row>
    <row r="53" spans="1:27" ht="1.5" customHeight="1" x14ac:dyDescent="0.4">
      <c r="A53" s="7"/>
      <c r="B53" s="7"/>
      <c r="C53" s="7"/>
      <c r="D53" s="233"/>
      <c r="E53" s="233"/>
      <c r="F53" s="233"/>
      <c r="G53" s="233"/>
      <c r="H53" s="233"/>
      <c r="I53" s="7"/>
      <c r="J53" s="9"/>
      <c r="K53" s="7"/>
      <c r="L53" s="9"/>
      <c r="M53" s="6"/>
      <c r="N53" s="4"/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07"/>
      <c r="AA53" s="307"/>
    </row>
    <row r="54" spans="1:27" x14ac:dyDescent="0.4">
      <c r="A54" s="7"/>
      <c r="B54" s="7"/>
      <c r="C54" s="7"/>
      <c r="D54" s="233"/>
      <c r="E54" s="233"/>
      <c r="F54" s="233"/>
      <c r="G54" s="233"/>
      <c r="H54" s="233"/>
      <c r="I54" s="7"/>
      <c r="J54" s="9"/>
      <c r="K54" s="7"/>
      <c r="L54" s="9"/>
      <c r="M54" s="6"/>
      <c r="P54" s="232"/>
      <c r="Q54" s="233"/>
      <c r="R54" s="233"/>
      <c r="X54" s="233"/>
      <c r="Y54" s="233"/>
      <c r="Z54" s="233"/>
      <c r="AA54" s="233"/>
    </row>
    <row r="55" spans="1:27" x14ac:dyDescent="0.4">
      <c r="A55" s="7"/>
      <c r="B55" s="7"/>
      <c r="C55" s="7"/>
      <c r="D55" s="233"/>
      <c r="E55" s="233"/>
      <c r="F55" s="233"/>
      <c r="G55" s="233"/>
      <c r="H55" s="233"/>
      <c r="I55" s="7"/>
      <c r="J55" s="9"/>
      <c r="K55" s="7"/>
      <c r="L55" s="9"/>
      <c r="M55" s="6"/>
      <c r="P55" s="232"/>
      <c r="Q55" s="233"/>
      <c r="R55" s="233"/>
      <c r="X55" s="233"/>
      <c r="Y55" s="233"/>
      <c r="Z55" s="233"/>
      <c r="AA55" s="233"/>
    </row>
    <row r="56" spans="1:27" x14ac:dyDescent="0.4">
      <c r="A56" s="233"/>
      <c r="B56" s="261" t="s">
        <v>145</v>
      </c>
      <c r="C56" s="233"/>
      <c r="D56" s="261"/>
      <c r="E56" s="233"/>
      <c r="G56" s="233"/>
      <c r="H56" s="261" t="s">
        <v>145</v>
      </c>
      <c r="I56" s="233"/>
      <c r="J56" s="233"/>
      <c r="K56" s="233"/>
      <c r="L56" s="233"/>
      <c r="R56" s="157"/>
      <c r="S56" s="157"/>
      <c r="T56" s="157"/>
      <c r="U56" s="304"/>
      <c r="V56" s="304"/>
      <c r="W56" s="304"/>
      <c r="X56" s="304"/>
      <c r="Y56" s="304"/>
      <c r="Z56" s="304"/>
      <c r="AA56" s="304"/>
    </row>
    <row r="57" spans="1:27" ht="9" customHeight="1" x14ac:dyDescent="0.4">
      <c r="A57" s="308"/>
      <c r="B57" s="308"/>
      <c r="C57" s="308"/>
      <c r="D57" s="308"/>
      <c r="E57" s="308"/>
      <c r="F57" s="308"/>
      <c r="G57" s="308"/>
      <c r="H57" s="308"/>
      <c r="I57" s="308"/>
      <c r="J57" s="308"/>
      <c r="K57" s="308"/>
      <c r="L57" s="308"/>
      <c r="U57" s="304"/>
      <c r="V57" s="304"/>
      <c r="W57" s="304"/>
      <c r="Y57" s="307"/>
      <c r="Z57" s="307"/>
      <c r="AA57" s="307"/>
    </row>
    <row r="58" spans="1:27" x14ac:dyDescent="0.4">
      <c r="A58" s="7"/>
      <c r="B58" s="7"/>
      <c r="C58" s="7"/>
      <c r="D58" s="23"/>
      <c r="E58" s="23"/>
      <c r="F58" s="13"/>
      <c r="G58" s="23"/>
      <c r="H58" s="13"/>
      <c r="I58" s="7"/>
      <c r="J58" s="305" t="s">
        <v>312</v>
      </c>
      <c r="K58" s="305"/>
      <c r="L58" s="305"/>
      <c r="U58" s="150"/>
      <c r="V58" s="237"/>
      <c r="W58" s="150"/>
      <c r="X58" s="236"/>
      <c r="Y58" s="150"/>
      <c r="Z58" s="237"/>
      <c r="AA58" s="150"/>
    </row>
    <row r="59" spans="1:27" x14ac:dyDescent="0.4">
      <c r="A59" s="286" t="str">
        <f>A2</f>
        <v>THE BROOKER GROUP PUBLIC COMPANY LIMITED AND ITS SUBSIDIARIES</v>
      </c>
      <c r="B59" s="286"/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U59" s="8"/>
      <c r="V59" s="8"/>
      <c r="W59" s="150"/>
      <c r="AA59" s="150"/>
    </row>
    <row r="60" spans="1:27" x14ac:dyDescent="0.4">
      <c r="A60" s="286" t="s">
        <v>224</v>
      </c>
      <c r="B60" s="286"/>
      <c r="C60" s="286"/>
      <c r="D60" s="286"/>
      <c r="E60" s="286"/>
      <c r="F60" s="286"/>
      <c r="G60" s="286"/>
      <c r="H60" s="286"/>
      <c r="I60" s="286"/>
      <c r="J60" s="286"/>
      <c r="K60" s="286"/>
      <c r="L60" s="286"/>
      <c r="U60" s="154"/>
      <c r="V60" s="239"/>
      <c r="W60" s="154"/>
      <c r="X60" s="240"/>
      <c r="Y60" s="154"/>
      <c r="Z60" s="240"/>
      <c r="AA60" s="154"/>
    </row>
    <row r="61" spans="1:27" x14ac:dyDescent="0.4">
      <c r="A61" s="286" t="str">
        <f>A4</f>
        <v>FOR  THE THREE-MONTH PERIOD ENDED JUNE 30, 2025</v>
      </c>
      <c r="B61" s="286"/>
      <c r="C61" s="286"/>
      <c r="D61" s="286"/>
      <c r="E61" s="286"/>
      <c r="F61" s="286"/>
      <c r="G61" s="286"/>
      <c r="H61" s="286"/>
      <c r="I61" s="286"/>
      <c r="J61" s="286"/>
      <c r="K61" s="286"/>
      <c r="L61" s="286"/>
      <c r="U61" s="154"/>
      <c r="V61" s="239"/>
      <c r="W61" s="154"/>
      <c r="X61" s="240"/>
      <c r="Y61" s="154"/>
      <c r="Z61" s="240"/>
      <c r="AA61" s="154"/>
    </row>
    <row r="62" spans="1:27" x14ac:dyDescent="0.4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U62" s="154"/>
      <c r="V62" s="239"/>
      <c r="W62" s="154"/>
      <c r="X62" s="240"/>
      <c r="Y62" s="152"/>
      <c r="Z62" s="240"/>
      <c r="AA62" s="152"/>
    </row>
    <row r="63" spans="1:27" x14ac:dyDescent="0.4">
      <c r="A63" s="7"/>
      <c r="B63" s="7"/>
      <c r="C63" s="19"/>
      <c r="F63" s="303" t="s">
        <v>132</v>
      </c>
      <c r="G63" s="303"/>
      <c r="H63" s="303"/>
      <c r="I63" s="303"/>
      <c r="J63" s="303"/>
      <c r="K63" s="303"/>
      <c r="L63" s="303"/>
      <c r="U63" s="154"/>
      <c r="V63" s="239"/>
      <c r="W63" s="154"/>
      <c r="X63" s="240"/>
      <c r="Y63" s="152"/>
      <c r="Z63" s="240"/>
      <c r="AA63" s="152"/>
    </row>
    <row r="64" spans="1:27" x14ac:dyDescent="0.4">
      <c r="A64" s="7"/>
      <c r="B64" s="7"/>
      <c r="C64" s="7" t="s">
        <v>4</v>
      </c>
      <c r="F64" s="302" t="s">
        <v>203</v>
      </c>
      <c r="G64" s="302"/>
      <c r="H64" s="302"/>
      <c r="J64" s="302" t="s">
        <v>204</v>
      </c>
      <c r="K64" s="302"/>
      <c r="L64" s="302"/>
      <c r="U64" s="154"/>
      <c r="V64" s="239"/>
      <c r="W64" s="154"/>
      <c r="X64" s="240"/>
      <c r="Y64" s="152"/>
      <c r="Z64" s="240"/>
      <c r="AA64" s="152"/>
    </row>
    <row r="65" spans="1:27" x14ac:dyDescent="0.4">
      <c r="A65" s="7"/>
      <c r="B65" s="7"/>
      <c r="C65" s="7"/>
      <c r="F65" s="302" t="str">
        <f>+F7</f>
        <v>For the three-month period ended June 30</v>
      </c>
      <c r="G65" s="302"/>
      <c r="H65" s="302"/>
      <c r="I65" s="1"/>
      <c r="J65" s="302" t="str">
        <f>+J7</f>
        <v>For the three-month period ended June 30</v>
      </c>
      <c r="K65" s="302"/>
      <c r="L65" s="302"/>
      <c r="U65" s="154"/>
      <c r="V65" s="239"/>
      <c r="W65" s="154"/>
      <c r="X65" s="240"/>
      <c r="Y65" s="152"/>
      <c r="Z65" s="240"/>
      <c r="AA65" s="152"/>
    </row>
    <row r="66" spans="1:27" x14ac:dyDescent="0.4">
      <c r="A66" s="7"/>
      <c r="B66" s="7"/>
      <c r="C66" s="7"/>
      <c r="D66" s="235" t="s">
        <v>133</v>
      </c>
      <c r="F66" s="235">
        <f>+F8</f>
        <v>2025</v>
      </c>
      <c r="H66" s="235">
        <f>+H8</f>
        <v>2024</v>
      </c>
      <c r="J66" s="235">
        <f>+J8</f>
        <v>2025</v>
      </c>
      <c r="K66" s="234"/>
      <c r="L66" s="235">
        <f>+L8</f>
        <v>2024</v>
      </c>
      <c r="U66" s="154"/>
      <c r="V66" s="239"/>
      <c r="W66" s="154"/>
      <c r="X66" s="240"/>
      <c r="Y66" s="152"/>
      <c r="Z66" s="240"/>
      <c r="AA66" s="152"/>
    </row>
    <row r="67" spans="1:27" x14ac:dyDescent="0.4">
      <c r="A67" s="238"/>
      <c r="B67" s="7"/>
      <c r="C67" s="7"/>
      <c r="D67" s="233"/>
      <c r="E67" s="233"/>
      <c r="F67" s="8"/>
      <c r="G67" s="8"/>
      <c r="H67" s="232"/>
      <c r="I67" s="7"/>
      <c r="J67" s="9"/>
      <c r="K67" s="7"/>
      <c r="L67" s="232"/>
      <c r="U67" s="154"/>
      <c r="V67" s="239"/>
      <c r="W67" s="154"/>
      <c r="X67" s="240"/>
      <c r="Y67" s="152"/>
      <c r="Z67" s="240"/>
      <c r="AA67" s="152"/>
    </row>
    <row r="68" spans="1:27" x14ac:dyDescent="0.4">
      <c r="A68" s="7" t="s">
        <v>311</v>
      </c>
      <c r="B68" s="7"/>
      <c r="C68" s="7"/>
      <c r="D68" s="233"/>
      <c r="E68" s="233"/>
      <c r="F68" s="140">
        <f>+F37</f>
        <v>-130812616.29999998</v>
      </c>
      <c r="G68" s="239"/>
      <c r="H68" s="140">
        <f>+H37</f>
        <v>-397251040.66999996</v>
      </c>
      <c r="I68" s="240"/>
      <c r="J68" s="140">
        <f>+J37</f>
        <v>-143979257.55000001</v>
      </c>
      <c r="K68" s="240"/>
      <c r="L68" s="140">
        <f>+L37</f>
        <v>-12960298.329999998</v>
      </c>
      <c r="U68" s="152"/>
      <c r="V68" s="239"/>
      <c r="W68" s="152"/>
      <c r="X68" s="240"/>
      <c r="Y68" s="152"/>
      <c r="Z68" s="240"/>
      <c r="AA68" s="152"/>
    </row>
    <row r="69" spans="1:27" x14ac:dyDescent="0.4">
      <c r="A69" s="7"/>
      <c r="B69" s="7"/>
      <c r="C69" s="7"/>
      <c r="D69" s="233"/>
      <c r="E69" s="233"/>
      <c r="F69" s="134"/>
      <c r="G69" s="239"/>
      <c r="H69" s="134"/>
      <c r="I69" s="240"/>
      <c r="J69" s="134"/>
      <c r="K69" s="240"/>
      <c r="L69" s="134"/>
      <c r="U69" s="154"/>
      <c r="V69" s="239"/>
      <c r="W69" s="154"/>
      <c r="X69" s="240"/>
      <c r="Y69" s="154"/>
      <c r="Z69" s="240"/>
      <c r="AA69" s="154"/>
    </row>
    <row r="70" spans="1:27" x14ac:dyDescent="0.4">
      <c r="A70" s="7" t="s">
        <v>239</v>
      </c>
      <c r="B70" s="7"/>
      <c r="C70" s="7"/>
      <c r="D70" s="233"/>
      <c r="E70" s="233"/>
      <c r="F70" s="134"/>
      <c r="G70" s="239"/>
      <c r="H70" s="134"/>
      <c r="I70" s="240"/>
      <c r="J70" s="16"/>
      <c r="K70" s="240"/>
      <c r="L70" s="16"/>
      <c r="U70" s="154"/>
      <c r="V70" s="239"/>
      <c r="W70" s="154"/>
      <c r="X70" s="240"/>
      <c r="Y70" s="152"/>
      <c r="Z70" s="240"/>
      <c r="AA70" s="152"/>
    </row>
    <row r="71" spans="1:27" x14ac:dyDescent="0.4">
      <c r="A71" s="7" t="s">
        <v>286</v>
      </c>
      <c r="B71" s="263"/>
      <c r="C71" s="263"/>
      <c r="D71" s="233"/>
      <c r="E71" s="233"/>
      <c r="F71" s="18"/>
      <c r="G71" s="239"/>
      <c r="H71" s="3"/>
      <c r="J71" s="3"/>
      <c r="L71" s="3"/>
      <c r="U71" s="152"/>
      <c r="V71" s="239"/>
      <c r="W71" s="152"/>
      <c r="X71" s="240"/>
      <c r="Y71" s="152"/>
      <c r="Z71" s="240"/>
      <c r="AA71" s="152"/>
    </row>
    <row r="72" spans="1:27" x14ac:dyDescent="0.4">
      <c r="A72" s="263"/>
      <c r="B72" s="7" t="s">
        <v>287</v>
      </c>
      <c r="C72" s="263"/>
      <c r="D72" s="233"/>
      <c r="E72" s="233"/>
      <c r="F72" s="18"/>
      <c r="G72" s="239"/>
      <c r="H72" s="18"/>
      <c r="I72" s="240"/>
      <c r="J72" s="16"/>
      <c r="K72" s="240"/>
      <c r="L72" s="16"/>
      <c r="U72" s="242"/>
      <c r="V72" s="242"/>
      <c r="W72" s="242"/>
      <c r="X72" s="240"/>
      <c r="Y72" s="152"/>
      <c r="Z72" s="240"/>
      <c r="AA72" s="152"/>
    </row>
    <row r="73" spans="1:27" x14ac:dyDescent="0.4">
      <c r="A73" s="7"/>
      <c r="B73" s="7" t="s">
        <v>263</v>
      </c>
      <c r="C73" s="7"/>
      <c r="D73" s="233"/>
      <c r="E73" s="233"/>
      <c r="F73" s="18">
        <v>-25755859.3946901</v>
      </c>
      <c r="G73" s="239"/>
      <c r="H73" s="18">
        <v>-11786189.619999999</v>
      </c>
      <c r="I73" s="240"/>
      <c r="J73" s="16">
        <v>0</v>
      </c>
      <c r="K73" s="240"/>
      <c r="L73" s="16">
        <v>0</v>
      </c>
      <c r="P73" s="247"/>
      <c r="Q73" s="247"/>
      <c r="R73" s="247"/>
      <c r="S73" s="248"/>
      <c r="T73" s="165"/>
      <c r="U73" s="155"/>
      <c r="V73" s="249"/>
      <c r="W73" s="155"/>
      <c r="X73" s="155"/>
      <c r="Y73" s="155"/>
      <c r="Z73" s="249"/>
      <c r="AA73" s="155"/>
    </row>
    <row r="74" spans="1:27" hidden="1" x14ac:dyDescent="0.4">
      <c r="A74" s="7" t="s">
        <v>288</v>
      </c>
      <c r="B74" s="263"/>
      <c r="C74" s="7"/>
      <c r="D74" s="233"/>
      <c r="E74" s="233"/>
      <c r="F74" s="18"/>
      <c r="G74" s="239"/>
      <c r="H74" s="18"/>
      <c r="I74" s="240"/>
      <c r="J74" s="16"/>
      <c r="K74" s="240"/>
      <c r="L74" s="16"/>
      <c r="P74" s="247"/>
      <c r="Q74" s="247"/>
      <c r="R74" s="247"/>
      <c r="S74" s="248"/>
      <c r="T74" s="250"/>
      <c r="U74" s="154"/>
      <c r="V74" s="239"/>
      <c r="W74" s="154"/>
      <c r="X74" s="239"/>
      <c r="Y74" s="154"/>
      <c r="Z74" s="239"/>
      <c r="AA74" s="154"/>
    </row>
    <row r="75" spans="1:27" hidden="1" x14ac:dyDescent="0.4">
      <c r="A75" s="263"/>
      <c r="B75" s="7" t="s">
        <v>287</v>
      </c>
      <c r="C75" s="7"/>
      <c r="D75" s="233"/>
      <c r="E75" s="233"/>
      <c r="F75" s="18"/>
      <c r="G75" s="239"/>
      <c r="H75" s="18"/>
      <c r="I75" s="240"/>
      <c r="J75" s="16"/>
      <c r="K75" s="240"/>
      <c r="L75" s="16"/>
      <c r="P75" s="247"/>
      <c r="S75" s="248"/>
      <c r="T75" s="250"/>
      <c r="U75" s="154"/>
      <c r="V75" s="152"/>
      <c r="W75" s="154"/>
      <c r="X75" s="155"/>
      <c r="Y75" s="154"/>
      <c r="Z75" s="155"/>
      <c r="AA75" s="154"/>
    </row>
    <row r="76" spans="1:27" hidden="1" x14ac:dyDescent="0.4">
      <c r="A76" s="7"/>
      <c r="B76" s="7" t="s">
        <v>289</v>
      </c>
      <c r="C76" s="7"/>
      <c r="D76" s="233">
        <v>22</v>
      </c>
      <c r="E76" s="233"/>
      <c r="F76" s="18">
        <v>0</v>
      </c>
      <c r="G76" s="239"/>
      <c r="H76" s="18">
        <v>0</v>
      </c>
      <c r="I76" s="240"/>
      <c r="J76" s="16">
        <v>0</v>
      </c>
      <c r="K76" s="240"/>
      <c r="L76" s="16">
        <v>0</v>
      </c>
      <c r="P76" s="252"/>
      <c r="Q76" s="252"/>
      <c r="R76" s="252"/>
      <c r="S76" s="248"/>
      <c r="T76" s="250"/>
      <c r="U76" s="154"/>
      <c r="V76" s="249"/>
      <c r="W76" s="154"/>
      <c r="X76" s="249"/>
      <c r="Y76" s="154"/>
      <c r="Z76" s="249"/>
      <c r="AA76" s="154"/>
    </row>
    <row r="77" spans="1:27" hidden="1" x14ac:dyDescent="0.4">
      <c r="A77" s="7"/>
      <c r="B77" s="7" t="s">
        <v>290</v>
      </c>
      <c r="C77" s="7"/>
      <c r="D77" s="233"/>
      <c r="E77" s="233"/>
      <c r="F77" s="140">
        <v>0</v>
      </c>
      <c r="G77" s="239"/>
      <c r="H77" s="140">
        <v>0</v>
      </c>
      <c r="I77" s="240"/>
      <c r="J77" s="131">
        <v>0</v>
      </c>
      <c r="K77" s="240"/>
      <c r="L77" s="131">
        <v>0</v>
      </c>
      <c r="U77" s="239"/>
      <c r="V77" s="239"/>
      <c r="W77" s="239"/>
      <c r="X77" s="240"/>
      <c r="Y77" s="152"/>
      <c r="Z77" s="240"/>
      <c r="AA77" s="152"/>
    </row>
    <row r="78" spans="1:27" x14ac:dyDescent="0.4">
      <c r="A78" s="7" t="s">
        <v>315</v>
      </c>
      <c r="B78" s="7"/>
      <c r="C78" s="7"/>
      <c r="D78" s="233"/>
      <c r="E78" s="233"/>
      <c r="F78" s="141">
        <f>SUM(F71:F77)</f>
        <v>-25755859.3946901</v>
      </c>
      <c r="G78" s="239"/>
      <c r="H78" s="141">
        <f>SUM(H72:H77)</f>
        <v>-11786189.619999999</v>
      </c>
      <c r="I78" s="240"/>
      <c r="J78" s="141">
        <f>SUM(J72:J77)</f>
        <v>0</v>
      </c>
      <c r="K78" s="240"/>
      <c r="L78" s="141">
        <f>SUM(L72:L77)</f>
        <v>0</v>
      </c>
      <c r="U78" s="239"/>
      <c r="V78" s="239"/>
      <c r="W78" s="239"/>
      <c r="X78" s="240"/>
      <c r="Y78" s="152"/>
      <c r="Z78" s="240"/>
      <c r="AA78" s="152"/>
    </row>
    <row r="79" spans="1:27" x14ac:dyDescent="0.4">
      <c r="A79" s="7"/>
      <c r="B79" s="7"/>
      <c r="C79" s="7"/>
      <c r="D79" s="233"/>
      <c r="E79" s="233"/>
      <c r="F79" s="134"/>
      <c r="G79" s="239"/>
      <c r="H79" s="134"/>
      <c r="I79" s="240"/>
      <c r="J79" s="11"/>
      <c r="K79" s="240"/>
      <c r="L79" s="11"/>
      <c r="U79" s="8"/>
      <c r="V79" s="8"/>
      <c r="W79" s="8"/>
      <c r="Z79" s="243"/>
    </row>
    <row r="80" spans="1:27" ht="18.75" thickBot="1" x14ac:dyDescent="0.45">
      <c r="A80" s="7" t="s">
        <v>310</v>
      </c>
      <c r="B80" s="7"/>
      <c r="C80" s="7"/>
      <c r="D80" s="233"/>
      <c r="E80" s="233"/>
      <c r="F80" s="139">
        <f>+F68+F78</f>
        <v>-156568475.69469008</v>
      </c>
      <c r="G80" s="239"/>
      <c r="H80" s="139">
        <f>+H68+H78</f>
        <v>-409037230.28999996</v>
      </c>
      <c r="I80" s="240"/>
      <c r="J80" s="139">
        <f>+J68+J78</f>
        <v>-143979257.55000001</v>
      </c>
      <c r="K80" s="240"/>
      <c r="L80" s="139">
        <f>+L68+L78</f>
        <v>-12960298.329999998</v>
      </c>
      <c r="U80" s="8"/>
      <c r="V80" s="8"/>
      <c r="W80" s="8"/>
      <c r="Z80" s="243"/>
    </row>
    <row r="81" spans="1:26" ht="18.75" thickTop="1" x14ac:dyDescent="0.4">
      <c r="A81" s="7"/>
      <c r="B81" s="7"/>
      <c r="C81" s="7"/>
      <c r="D81" s="233"/>
      <c r="E81" s="233"/>
      <c r="F81" s="242"/>
      <c r="G81" s="242"/>
      <c r="H81" s="242"/>
      <c r="I81" s="240"/>
      <c r="J81" s="11"/>
      <c r="K81" s="240"/>
      <c r="L81" s="11"/>
      <c r="U81" s="8"/>
      <c r="V81" s="8"/>
      <c r="W81" s="8"/>
      <c r="Z81" s="243"/>
    </row>
    <row r="82" spans="1:26" x14ac:dyDescent="0.4">
      <c r="A82" s="247" t="s">
        <v>240</v>
      </c>
      <c r="B82" s="247"/>
      <c r="C82" s="247"/>
      <c r="D82" s="248"/>
      <c r="E82" s="168"/>
      <c r="F82" s="167"/>
      <c r="G82" s="249"/>
      <c r="H82" s="167"/>
      <c r="I82" s="166"/>
      <c r="J82" s="167"/>
      <c r="K82" s="249"/>
      <c r="L82" s="249"/>
      <c r="U82" s="8"/>
      <c r="V82" s="8"/>
      <c r="W82" s="8"/>
      <c r="Z82" s="243"/>
    </row>
    <row r="83" spans="1:26" x14ac:dyDescent="0.4">
      <c r="A83" s="247"/>
      <c r="B83" s="247" t="s">
        <v>238</v>
      </c>
      <c r="C83" s="247"/>
      <c r="D83" s="248"/>
      <c r="E83" s="250">
        <v>852812933</v>
      </c>
      <c r="F83" s="18">
        <f>+F80-F84</f>
        <v>-156486150.76469007</v>
      </c>
      <c r="G83" s="239"/>
      <c r="H83" s="18">
        <f>+H80-H84</f>
        <v>-408939125.49999994</v>
      </c>
      <c r="I83" s="239"/>
      <c r="J83" s="18">
        <f>+J80-J84</f>
        <v>-143979257.55000001</v>
      </c>
      <c r="K83" s="239"/>
      <c r="L83" s="18">
        <f>+L80-L84</f>
        <v>-12960298.329999998</v>
      </c>
      <c r="U83" s="8"/>
      <c r="V83" s="8"/>
      <c r="W83" s="8"/>
      <c r="Z83" s="243"/>
    </row>
    <row r="84" spans="1:26" x14ac:dyDescent="0.4">
      <c r="A84" s="247"/>
      <c r="B84" s="7" t="s">
        <v>231</v>
      </c>
      <c r="C84" s="7"/>
      <c r="D84" s="248"/>
      <c r="E84" s="250">
        <v>-1541152</v>
      </c>
      <c r="F84" s="18">
        <f>+F41</f>
        <v>-82324.929999999993</v>
      </c>
      <c r="G84" s="16"/>
      <c r="H84" s="18">
        <f>+H41</f>
        <v>-98104.79</v>
      </c>
      <c r="I84" s="166"/>
      <c r="J84" s="18">
        <f>+J41</f>
        <v>0</v>
      </c>
      <c r="K84" s="166"/>
      <c r="L84" s="18">
        <f>+L41</f>
        <v>0</v>
      </c>
      <c r="U84" s="8"/>
      <c r="V84" s="8"/>
      <c r="W84" s="8"/>
      <c r="Z84" s="243"/>
    </row>
    <row r="85" spans="1:26" ht="18.75" thickBot="1" x14ac:dyDescent="0.45">
      <c r="A85" s="252"/>
      <c r="B85" s="252"/>
      <c r="C85" s="252"/>
      <c r="D85" s="248"/>
      <c r="E85" s="250"/>
      <c r="F85" s="142">
        <f>SUM(F83:F84)</f>
        <v>-156568475.69469008</v>
      </c>
      <c r="G85" s="249"/>
      <c r="H85" s="251">
        <f>SUM(H83:H84)</f>
        <v>-409037230.28999996</v>
      </c>
      <c r="I85" s="249"/>
      <c r="J85" s="142">
        <f>SUM(J83:J84)</f>
        <v>-143979257.55000001</v>
      </c>
      <c r="K85" s="249"/>
      <c r="L85" s="251">
        <f>SUM(L83:L84)</f>
        <v>-12960298.329999998</v>
      </c>
      <c r="U85" s="8"/>
      <c r="V85" s="8"/>
      <c r="W85" s="8"/>
      <c r="Z85" s="243"/>
    </row>
    <row r="86" spans="1:26" ht="18.75" thickTop="1" x14ac:dyDescent="0.4">
      <c r="A86" s="252"/>
      <c r="B86" s="252"/>
      <c r="C86" s="252"/>
      <c r="D86" s="248"/>
      <c r="E86" s="250"/>
      <c r="F86" s="18"/>
      <c r="G86" s="249"/>
      <c r="H86" s="239"/>
      <c r="I86" s="249"/>
      <c r="J86" s="239"/>
      <c r="K86" s="249"/>
      <c r="L86" s="239"/>
      <c r="U86" s="8"/>
      <c r="V86" s="8"/>
      <c r="W86" s="8"/>
      <c r="Z86" s="243"/>
    </row>
    <row r="87" spans="1:26" x14ac:dyDescent="0.4">
      <c r="A87" s="243" t="str">
        <f>+A52</f>
        <v>The accompanying interim notes to financial statements are an integral part of these interim financial statements.</v>
      </c>
      <c r="B87" s="252"/>
      <c r="C87" s="252"/>
      <c r="D87" s="248"/>
      <c r="E87" s="250"/>
      <c r="F87" s="18"/>
      <c r="G87" s="249"/>
      <c r="H87" s="239"/>
      <c r="I87" s="249"/>
      <c r="J87" s="239"/>
      <c r="K87" s="249"/>
      <c r="L87" s="239"/>
      <c r="U87" s="8"/>
      <c r="V87" s="8"/>
      <c r="W87" s="8"/>
      <c r="Z87" s="243"/>
    </row>
    <row r="88" spans="1:26" x14ac:dyDescent="0.4">
      <c r="A88" s="252"/>
      <c r="B88" s="252"/>
      <c r="C88" s="252"/>
      <c r="D88" s="248"/>
      <c r="E88" s="250"/>
      <c r="F88" s="18"/>
      <c r="G88" s="249"/>
      <c r="H88" s="239"/>
      <c r="I88" s="249"/>
      <c r="J88" s="239"/>
      <c r="K88" s="249"/>
      <c r="L88" s="239"/>
      <c r="U88" s="8"/>
      <c r="V88" s="8"/>
      <c r="W88" s="8"/>
      <c r="Z88" s="243"/>
    </row>
    <row r="89" spans="1:26" x14ac:dyDescent="0.4">
      <c r="A89" s="252"/>
      <c r="B89" s="252"/>
      <c r="C89" s="252"/>
      <c r="D89" s="248"/>
      <c r="E89" s="250"/>
      <c r="F89" s="18"/>
      <c r="G89" s="249"/>
      <c r="H89" s="239"/>
      <c r="I89" s="249"/>
      <c r="J89" s="239"/>
      <c r="K89" s="249"/>
      <c r="L89" s="239"/>
      <c r="U89" s="8"/>
      <c r="V89" s="8"/>
      <c r="W89" s="8"/>
      <c r="Z89" s="243"/>
    </row>
    <row r="90" spans="1:26" x14ac:dyDescent="0.4">
      <c r="A90" s="252"/>
      <c r="B90" s="252"/>
      <c r="C90" s="252"/>
      <c r="D90" s="248"/>
      <c r="E90" s="250"/>
      <c r="F90" s="18"/>
      <c r="G90" s="249"/>
      <c r="H90" s="239"/>
      <c r="I90" s="249"/>
      <c r="J90" s="239"/>
      <c r="K90" s="249"/>
      <c r="L90" s="239"/>
      <c r="U90" s="8"/>
      <c r="V90" s="8"/>
      <c r="W90" s="8"/>
      <c r="Z90" s="243"/>
    </row>
    <row r="91" spans="1:26" x14ac:dyDescent="0.4">
      <c r="A91" s="252"/>
      <c r="B91" s="252"/>
      <c r="C91" s="252"/>
      <c r="D91" s="248"/>
      <c r="E91" s="250"/>
      <c r="F91" s="18"/>
      <c r="G91" s="249"/>
      <c r="H91" s="239"/>
      <c r="I91" s="249"/>
      <c r="J91" s="239"/>
      <c r="K91" s="249"/>
      <c r="L91" s="239"/>
      <c r="S91" s="254"/>
      <c r="U91" s="8"/>
      <c r="V91" s="8"/>
      <c r="W91" s="8"/>
    </row>
    <row r="92" spans="1:26" x14ac:dyDescent="0.4">
      <c r="A92" s="252"/>
      <c r="B92" s="252"/>
      <c r="C92" s="252"/>
      <c r="D92" s="248"/>
      <c r="E92" s="250"/>
      <c r="F92" s="18"/>
      <c r="G92" s="249"/>
      <c r="H92" s="239"/>
      <c r="I92" s="249"/>
      <c r="J92" s="239"/>
      <c r="K92" s="249"/>
      <c r="L92" s="239"/>
    </row>
    <row r="93" spans="1:26" x14ac:dyDescent="0.4">
      <c r="A93" s="252"/>
      <c r="B93" s="252"/>
      <c r="C93" s="252"/>
      <c r="D93" s="248"/>
      <c r="E93" s="250"/>
      <c r="F93" s="18"/>
      <c r="G93" s="249"/>
      <c r="H93" s="239"/>
      <c r="I93" s="249"/>
      <c r="J93" s="239"/>
      <c r="K93" s="249"/>
      <c r="L93" s="239"/>
      <c r="U93" s="8"/>
      <c r="V93" s="8"/>
      <c r="W93" s="8"/>
    </row>
    <row r="94" spans="1:26" x14ac:dyDescent="0.4">
      <c r="A94" s="252"/>
      <c r="B94" s="252"/>
      <c r="C94" s="252"/>
      <c r="D94" s="248"/>
      <c r="E94" s="250"/>
      <c r="F94" s="18"/>
      <c r="G94" s="249"/>
      <c r="H94" s="239"/>
      <c r="I94" s="249"/>
      <c r="J94" s="239"/>
      <c r="K94" s="249"/>
      <c r="L94" s="239"/>
      <c r="Q94" s="247"/>
      <c r="S94" s="255"/>
      <c r="U94" s="148"/>
      <c r="V94" s="8"/>
      <c r="W94" s="148"/>
      <c r="X94" s="247"/>
      <c r="Z94" s="247"/>
    </row>
    <row r="95" spans="1:26" x14ac:dyDescent="0.4">
      <c r="A95" s="252"/>
      <c r="B95" s="252"/>
      <c r="C95" s="252"/>
      <c r="D95" s="248"/>
      <c r="E95" s="250"/>
      <c r="F95" s="18"/>
      <c r="G95" s="249"/>
      <c r="H95" s="239"/>
      <c r="I95" s="249"/>
      <c r="J95" s="239"/>
      <c r="K95" s="249"/>
      <c r="L95" s="239"/>
    </row>
    <row r="96" spans="1:26" x14ac:dyDescent="0.4">
      <c r="A96" s="252"/>
      <c r="B96" s="252"/>
      <c r="C96" s="252"/>
      <c r="D96" s="248"/>
      <c r="E96" s="250"/>
      <c r="F96" s="18"/>
      <c r="G96" s="249"/>
      <c r="H96" s="239"/>
      <c r="I96" s="249"/>
      <c r="J96" s="239"/>
      <c r="K96" s="249"/>
      <c r="L96" s="239"/>
    </row>
    <row r="97" spans="1:27" x14ac:dyDescent="0.4">
      <c r="A97" s="252"/>
      <c r="B97" s="252"/>
      <c r="C97" s="252"/>
      <c r="D97" s="248"/>
      <c r="E97" s="250"/>
      <c r="F97" s="18"/>
      <c r="G97" s="249"/>
      <c r="H97" s="239"/>
      <c r="I97" s="249"/>
      <c r="J97" s="239"/>
      <c r="K97" s="249"/>
      <c r="L97" s="239"/>
      <c r="P97" s="233"/>
      <c r="Q97" s="261"/>
      <c r="R97" s="233"/>
      <c r="S97" s="261"/>
      <c r="U97" s="261"/>
      <c r="X97" s="233"/>
      <c r="Y97" s="233"/>
      <c r="Z97" s="233"/>
      <c r="AA97" s="233"/>
    </row>
    <row r="98" spans="1:27" x14ac:dyDescent="0.4">
      <c r="A98" s="252"/>
      <c r="B98" s="252"/>
      <c r="C98" s="252"/>
      <c r="D98" s="248"/>
      <c r="E98" s="250"/>
      <c r="F98" s="18"/>
      <c r="G98" s="249"/>
      <c r="H98" s="239"/>
      <c r="I98" s="249"/>
      <c r="J98" s="239"/>
      <c r="K98" s="249"/>
      <c r="L98" s="239"/>
      <c r="P98" s="233"/>
      <c r="Q98" s="261"/>
      <c r="R98" s="233"/>
      <c r="S98" s="261"/>
      <c r="U98" s="261"/>
      <c r="X98" s="233"/>
      <c r="Y98" s="233"/>
      <c r="Z98" s="233"/>
      <c r="AA98" s="233"/>
    </row>
    <row r="99" spans="1:27" x14ac:dyDescent="0.4">
      <c r="A99" s="252"/>
      <c r="B99" s="252"/>
      <c r="C99" s="252"/>
      <c r="D99" s="248"/>
      <c r="E99" s="250"/>
      <c r="F99" s="18"/>
      <c r="G99" s="249"/>
      <c r="H99" s="239"/>
      <c r="I99" s="249"/>
      <c r="J99" s="239"/>
      <c r="K99" s="249"/>
      <c r="L99" s="239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  <c r="AA99" s="304"/>
    </row>
    <row r="100" spans="1:27" x14ac:dyDescent="0.4">
      <c r="A100" s="252"/>
      <c r="B100" s="252"/>
      <c r="C100" s="252"/>
      <c r="D100" s="248"/>
      <c r="E100" s="250"/>
      <c r="F100" s="18"/>
      <c r="G100" s="249"/>
      <c r="H100" s="239"/>
      <c r="I100" s="249"/>
      <c r="J100" s="239"/>
      <c r="K100" s="249"/>
      <c r="L100" s="239"/>
    </row>
    <row r="101" spans="1:27" x14ac:dyDescent="0.4">
      <c r="A101" s="252"/>
      <c r="B101" s="252"/>
      <c r="C101" s="252"/>
      <c r="D101" s="248"/>
      <c r="E101" s="250"/>
      <c r="F101" s="18"/>
      <c r="G101" s="249"/>
      <c r="H101" s="239"/>
      <c r="I101" s="249"/>
      <c r="J101" s="239"/>
      <c r="K101" s="249"/>
      <c r="L101" s="239"/>
    </row>
    <row r="102" spans="1:27" x14ac:dyDescent="0.4">
      <c r="A102" s="252"/>
      <c r="B102" s="252"/>
      <c r="C102" s="252"/>
      <c r="D102" s="248"/>
      <c r="E102" s="250"/>
      <c r="F102" s="18"/>
      <c r="G102" s="249"/>
      <c r="H102" s="239"/>
      <c r="I102" s="249"/>
      <c r="J102" s="239"/>
      <c r="K102" s="249"/>
      <c r="L102" s="239"/>
    </row>
    <row r="103" spans="1:27" x14ac:dyDescent="0.4">
      <c r="A103" s="252"/>
      <c r="B103" s="252"/>
      <c r="C103" s="252"/>
      <c r="D103" s="248"/>
      <c r="E103" s="250"/>
      <c r="F103" s="18"/>
      <c r="G103" s="249"/>
      <c r="H103" s="239"/>
      <c r="I103" s="249"/>
      <c r="J103" s="239"/>
      <c r="K103" s="249"/>
      <c r="L103" s="239"/>
    </row>
    <row r="104" spans="1:27" x14ac:dyDescent="0.4">
      <c r="A104" s="252"/>
      <c r="B104" s="252"/>
      <c r="C104" s="252"/>
      <c r="D104" s="248"/>
      <c r="E104" s="250"/>
      <c r="F104" s="18"/>
      <c r="G104" s="249"/>
      <c r="H104" s="239"/>
      <c r="I104" s="249"/>
      <c r="J104" s="239"/>
      <c r="K104" s="249"/>
      <c r="L104" s="239"/>
    </row>
    <row r="105" spans="1:27" x14ac:dyDescent="0.4">
      <c r="A105" s="252"/>
      <c r="B105" s="252"/>
      <c r="C105" s="252"/>
      <c r="D105" s="248"/>
      <c r="E105" s="250"/>
      <c r="F105" s="18"/>
      <c r="G105" s="249"/>
      <c r="H105" s="239"/>
      <c r="I105" s="249"/>
      <c r="J105" s="239"/>
      <c r="K105" s="249"/>
      <c r="L105" s="239"/>
    </row>
    <row r="106" spans="1:27" x14ac:dyDescent="0.4">
      <c r="A106" s="252"/>
      <c r="B106" s="252"/>
      <c r="C106" s="252"/>
      <c r="D106" s="248"/>
      <c r="E106" s="250"/>
      <c r="F106" s="18"/>
      <c r="G106" s="250"/>
      <c r="H106" s="8"/>
      <c r="I106" s="250"/>
      <c r="J106" s="8"/>
      <c r="K106" s="250"/>
      <c r="L106" s="8"/>
    </row>
    <row r="107" spans="1:27" x14ac:dyDescent="0.4">
      <c r="A107" s="7"/>
      <c r="B107" s="7"/>
      <c r="C107" s="7"/>
      <c r="D107" s="233"/>
      <c r="E107" s="233"/>
      <c r="F107" s="233"/>
      <c r="G107" s="233"/>
      <c r="H107" s="233"/>
      <c r="I107" s="7"/>
      <c r="J107" s="9"/>
      <c r="K107" s="7"/>
      <c r="L107" s="9"/>
    </row>
    <row r="108" spans="1:27" x14ac:dyDescent="0.4">
      <c r="A108" s="233"/>
      <c r="B108" s="261" t="s">
        <v>145</v>
      </c>
      <c r="C108" s="233"/>
      <c r="D108" s="261"/>
      <c r="E108" s="233"/>
      <c r="G108" s="233"/>
      <c r="H108" s="261" t="s">
        <v>145</v>
      </c>
      <c r="I108" s="233"/>
      <c r="J108" s="233"/>
      <c r="K108" s="233"/>
      <c r="L108" s="233"/>
    </row>
    <row r="109" spans="1:27" ht="7.5" customHeight="1" x14ac:dyDescent="0.4">
      <c r="A109" s="233"/>
      <c r="B109" s="261"/>
      <c r="C109" s="233"/>
      <c r="D109" s="261"/>
      <c r="E109" s="233"/>
      <c r="F109" s="262"/>
      <c r="G109" s="233"/>
      <c r="H109" s="261"/>
      <c r="I109" s="233"/>
      <c r="J109" s="233"/>
      <c r="K109" s="233"/>
      <c r="L109" s="233"/>
    </row>
    <row r="110" spans="1:27" ht="20.100000000000001" customHeight="1" x14ac:dyDescent="0.4">
      <c r="B110" s="7"/>
      <c r="C110" s="7"/>
      <c r="D110" s="23"/>
      <c r="E110" s="23"/>
      <c r="F110" s="13"/>
      <c r="G110" s="23"/>
      <c r="H110" s="13"/>
      <c r="I110" s="7"/>
      <c r="J110" s="305" t="s">
        <v>312</v>
      </c>
      <c r="K110" s="305"/>
      <c r="L110" s="305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4">
      <c r="A111" s="291" t="s">
        <v>131</v>
      </c>
      <c r="B111" s="286"/>
      <c r="C111" s="286"/>
      <c r="D111" s="286"/>
      <c r="E111" s="286"/>
      <c r="F111" s="286"/>
      <c r="G111" s="286"/>
      <c r="H111" s="286"/>
      <c r="I111" s="286"/>
      <c r="J111" s="286"/>
      <c r="K111" s="286"/>
      <c r="L111" s="286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8" customHeight="1" x14ac:dyDescent="0.4">
      <c r="A112" s="286" t="s">
        <v>368</v>
      </c>
      <c r="B112" s="286"/>
      <c r="C112" s="286"/>
      <c r="D112" s="286"/>
      <c r="E112" s="286"/>
      <c r="F112" s="286"/>
      <c r="G112" s="286"/>
      <c r="H112" s="286"/>
      <c r="I112" s="286"/>
      <c r="J112" s="286"/>
      <c r="K112" s="286"/>
      <c r="L112" s="286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8" customHeight="1" x14ac:dyDescent="0.4">
      <c r="A113" s="286" t="s">
        <v>369</v>
      </c>
      <c r="B113" s="286"/>
      <c r="C113" s="286"/>
      <c r="D113" s="286"/>
      <c r="E113" s="286"/>
      <c r="F113" s="286"/>
      <c r="G113" s="286"/>
      <c r="H113" s="286"/>
      <c r="I113" s="286"/>
      <c r="J113" s="286"/>
      <c r="K113" s="286"/>
      <c r="L113" s="286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6.5" customHeight="1" x14ac:dyDescent="0.4">
      <c r="A114" s="7"/>
      <c r="B114" s="7"/>
      <c r="C114" s="19"/>
      <c r="F114" s="303" t="s">
        <v>132</v>
      </c>
      <c r="G114" s="303"/>
      <c r="H114" s="303"/>
      <c r="I114" s="303"/>
      <c r="J114" s="303"/>
      <c r="K114" s="303"/>
      <c r="L114" s="30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4">
      <c r="A115" s="7"/>
      <c r="B115" s="7"/>
      <c r="C115" s="7" t="s">
        <v>4</v>
      </c>
      <c r="F115" s="302" t="s">
        <v>203</v>
      </c>
      <c r="G115" s="302"/>
      <c r="H115" s="302"/>
      <c r="J115" s="302" t="s">
        <v>204</v>
      </c>
      <c r="K115" s="302"/>
      <c r="L115" s="302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4">
      <c r="A116" s="7"/>
      <c r="B116" s="7"/>
      <c r="C116" s="7"/>
      <c r="F116" s="302" t="s">
        <v>370</v>
      </c>
      <c r="G116" s="302"/>
      <c r="H116" s="302"/>
      <c r="I116" s="1"/>
      <c r="J116" s="302" t="str">
        <f>+F116</f>
        <v>For the six-month period ended June 30</v>
      </c>
      <c r="K116" s="302"/>
      <c r="L116" s="302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x14ac:dyDescent="0.4">
      <c r="A117" s="7"/>
      <c r="B117" s="7"/>
      <c r="C117" s="7"/>
      <c r="D117" s="235" t="s">
        <v>133</v>
      </c>
      <c r="F117" s="235">
        <v>2025</v>
      </c>
      <c r="H117" s="235">
        <v>2024</v>
      </c>
      <c r="J117" s="235">
        <f>+F117</f>
        <v>2025</v>
      </c>
      <c r="K117" s="234"/>
      <c r="L117" s="235">
        <f>+H117</f>
        <v>2024</v>
      </c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x14ac:dyDescent="0.4">
      <c r="A118" s="238" t="s">
        <v>156</v>
      </c>
      <c r="B118" s="7"/>
      <c r="C118" s="7"/>
      <c r="D118" s="233"/>
      <c r="E118" s="233"/>
      <c r="F118" s="8"/>
      <c r="G118" s="8"/>
      <c r="H118" s="8"/>
      <c r="I118" s="7"/>
      <c r="J118" s="9"/>
      <c r="K118" s="7"/>
      <c r="L118" s="9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4">
      <c r="A119" s="7"/>
      <c r="B119" s="7" t="s">
        <v>223</v>
      </c>
      <c r="C119" s="7"/>
      <c r="D119" s="233"/>
      <c r="E119" s="233"/>
      <c r="F119" s="134">
        <v>23670829.510000002</v>
      </c>
      <c r="G119" s="239"/>
      <c r="H119" s="134">
        <v>57709069.549999997</v>
      </c>
      <c r="I119" s="240"/>
      <c r="J119" s="16">
        <v>23930718.370000001</v>
      </c>
      <c r="K119" s="240"/>
      <c r="L119" s="16">
        <v>56898750.93</v>
      </c>
      <c r="M119" s="6"/>
      <c r="N119" s="6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4">
      <c r="A120" s="7"/>
      <c r="B120" s="7" t="s">
        <v>328</v>
      </c>
      <c r="C120" s="7"/>
      <c r="D120" s="233">
        <v>6</v>
      </c>
      <c r="E120" s="233"/>
      <c r="F120" s="134">
        <v>9607476.1099999994</v>
      </c>
      <c r="G120" s="239"/>
      <c r="H120" s="134">
        <v>126429863.29000001</v>
      </c>
      <c r="I120" s="240"/>
      <c r="J120" s="11">
        <v>6401.74</v>
      </c>
      <c r="K120" s="240"/>
      <c r="L120" s="11">
        <v>8354.84</v>
      </c>
      <c r="M120" s="6"/>
      <c r="N120" s="6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idden="1" x14ac:dyDescent="0.4">
      <c r="A121" s="7"/>
      <c r="B121" s="7" t="s">
        <v>302</v>
      </c>
      <c r="C121" s="7"/>
      <c r="D121" s="233"/>
      <c r="E121" s="233"/>
      <c r="F121" s="134">
        <v>0</v>
      </c>
      <c r="G121" s="239"/>
      <c r="H121" s="134">
        <v>0</v>
      </c>
      <c r="I121" s="240"/>
      <c r="J121" s="11">
        <v>0</v>
      </c>
      <c r="K121" s="240"/>
      <c r="L121" s="11">
        <v>0</v>
      </c>
      <c r="M121" s="6"/>
      <c r="N121" s="6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x14ac:dyDescent="0.4">
      <c r="A122" s="7"/>
      <c r="B122" s="7" t="s">
        <v>316</v>
      </c>
      <c r="C122" s="7"/>
      <c r="D122" s="233">
        <v>6</v>
      </c>
      <c r="E122" s="233"/>
      <c r="F122" s="134">
        <v>51570184.93</v>
      </c>
      <c r="G122" s="239"/>
      <c r="H122" s="134">
        <v>94968945.670000002</v>
      </c>
      <c r="I122" s="240"/>
      <c r="J122" s="11">
        <v>17801.080000000002</v>
      </c>
      <c r="K122" s="240"/>
      <c r="L122" s="11">
        <v>34420.730000000003</v>
      </c>
      <c r="M122" s="6"/>
      <c r="N122" s="6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4">
      <c r="A123" s="7"/>
      <c r="B123" s="7" t="s">
        <v>330</v>
      </c>
      <c r="C123" s="7"/>
      <c r="D123" s="233"/>
      <c r="E123" s="233"/>
      <c r="F123" s="134">
        <v>5000000</v>
      </c>
      <c r="G123" s="239"/>
      <c r="H123" s="134">
        <v>4000000</v>
      </c>
      <c r="I123" s="240"/>
      <c r="J123" s="11">
        <v>5000000</v>
      </c>
      <c r="K123" s="240"/>
      <c r="L123" s="11">
        <v>4000000</v>
      </c>
      <c r="M123" s="6"/>
      <c r="N123" s="6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4">
      <c r="A124" s="7"/>
      <c r="B124" s="7" t="s">
        <v>158</v>
      </c>
      <c r="C124" s="7"/>
      <c r="D124" s="233"/>
      <c r="E124" s="233"/>
      <c r="F124" s="134">
        <v>38712734.739999995</v>
      </c>
      <c r="G124" s="239"/>
      <c r="H124" s="134">
        <v>25425386.719999999</v>
      </c>
      <c r="I124" s="240"/>
      <c r="J124" s="16">
        <v>67510029.209999993</v>
      </c>
      <c r="K124" s="240"/>
      <c r="L124" s="16">
        <v>55517312.829999998</v>
      </c>
      <c r="M124" s="6"/>
      <c r="N124" s="6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x14ac:dyDescent="0.4">
      <c r="A125" s="7"/>
      <c r="B125" s="7" t="s">
        <v>157</v>
      </c>
      <c r="C125" s="7"/>
      <c r="D125" s="233"/>
      <c r="E125" s="233"/>
      <c r="F125" s="242"/>
      <c r="G125" s="242"/>
      <c r="H125" s="242"/>
      <c r="I125" s="240"/>
      <c r="J125" s="11"/>
      <c r="K125" s="240"/>
      <c r="L125" s="11"/>
      <c r="M125" s="6"/>
      <c r="N125" s="6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x14ac:dyDescent="0.4">
      <c r="A126" s="7"/>
      <c r="B126" s="7"/>
      <c r="C126" s="7" t="s">
        <v>317</v>
      </c>
      <c r="D126" s="233"/>
      <c r="E126" s="233"/>
      <c r="F126" s="11">
        <v>0</v>
      </c>
      <c r="G126" s="239"/>
      <c r="H126" s="11">
        <v>109106483.75</v>
      </c>
      <c r="I126" s="240"/>
      <c r="J126" s="11">
        <v>0</v>
      </c>
      <c r="K126" s="240"/>
      <c r="L126" s="11">
        <v>109106163.16</v>
      </c>
      <c r="M126" s="6"/>
      <c r="N126" s="6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4">
      <c r="A127" s="7"/>
      <c r="B127" s="7"/>
      <c r="C127" s="7" t="s">
        <v>138</v>
      </c>
      <c r="D127" s="243"/>
      <c r="E127" s="243"/>
      <c r="F127" s="134">
        <v>1634727.54</v>
      </c>
      <c r="G127" s="239"/>
      <c r="H127" s="134">
        <v>575073.85</v>
      </c>
      <c r="I127" s="240"/>
      <c r="J127" s="11">
        <v>1634727.54</v>
      </c>
      <c r="K127" s="240"/>
      <c r="L127" s="11">
        <v>553473.85</v>
      </c>
      <c r="M127" s="6"/>
      <c r="N127" s="6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4">
      <c r="A128" s="7"/>
      <c r="B128" s="7"/>
      <c r="C128" s="7" t="s">
        <v>159</v>
      </c>
      <c r="D128" s="233"/>
      <c r="E128" s="233"/>
      <c r="F128" s="133">
        <f>SUM(F119:F127)</f>
        <v>130195952.83</v>
      </c>
      <c r="G128" s="239"/>
      <c r="H128" s="133">
        <f>SUM(H119:H127)</f>
        <v>418214822.83000004</v>
      </c>
      <c r="I128" s="240"/>
      <c r="J128" s="133">
        <f>SUM(J119:J127)</f>
        <v>98099677.939999998</v>
      </c>
      <c r="K128" s="240"/>
      <c r="L128" s="133">
        <f>SUM(L119:L127)</f>
        <v>226118476.34</v>
      </c>
      <c r="M128" s="6"/>
      <c r="N128" s="6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5.25" customHeight="1" x14ac:dyDescent="0.4">
      <c r="A129" s="7"/>
      <c r="B129" s="7"/>
      <c r="C129" s="7"/>
      <c r="D129" s="233"/>
      <c r="E129" s="233"/>
      <c r="F129" s="239"/>
      <c r="G129" s="239"/>
      <c r="H129" s="239"/>
      <c r="I129" s="240"/>
      <c r="J129" s="239"/>
      <c r="K129" s="240"/>
      <c r="L129" s="239"/>
      <c r="M129" s="6"/>
      <c r="N129" s="6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6.5" customHeight="1" x14ac:dyDescent="0.4">
      <c r="A130" s="7" t="s">
        <v>160</v>
      </c>
      <c r="B130" s="7"/>
      <c r="C130" s="7"/>
      <c r="D130" s="233"/>
      <c r="E130" s="233"/>
      <c r="F130" s="239"/>
      <c r="G130" s="239"/>
      <c r="H130" s="239"/>
      <c r="I130" s="240"/>
      <c r="J130" s="11"/>
      <c r="K130" s="240"/>
      <c r="L130" s="11"/>
      <c r="M130" s="6"/>
      <c r="N130" s="6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4">
      <c r="A131" s="7"/>
      <c r="B131" s="7" t="s">
        <v>251</v>
      </c>
      <c r="C131" s="7"/>
      <c r="D131" s="233"/>
      <c r="E131" s="233"/>
      <c r="F131" s="239">
        <v>42371407.259999998</v>
      </c>
      <c r="G131" s="239"/>
      <c r="H131" s="239">
        <v>35870186.600000001</v>
      </c>
      <c r="I131" s="240"/>
      <c r="J131" s="11">
        <v>41730743.490000002</v>
      </c>
      <c r="K131" s="240"/>
      <c r="L131" s="11">
        <v>34978835.759999998</v>
      </c>
      <c r="M131" s="6"/>
      <c r="N131" s="6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4">
      <c r="A132" s="7"/>
      <c r="B132" s="7" t="s">
        <v>351</v>
      </c>
      <c r="C132" s="7"/>
      <c r="D132" s="233"/>
      <c r="E132" s="233"/>
      <c r="F132" s="239"/>
      <c r="G132" s="239"/>
      <c r="H132" s="239"/>
      <c r="I132" s="240"/>
      <c r="J132" s="11"/>
      <c r="K132" s="240"/>
      <c r="L132" s="11"/>
      <c r="M132" s="6"/>
      <c r="N132" s="6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x14ac:dyDescent="0.4">
      <c r="A133" s="7"/>
      <c r="B133" s="7"/>
      <c r="C133" s="7" t="s">
        <v>353</v>
      </c>
      <c r="D133" s="233">
        <v>6</v>
      </c>
      <c r="E133" s="233"/>
      <c r="F133" s="239">
        <v>9618543.4699999988</v>
      </c>
      <c r="G133" s="239"/>
      <c r="H133" s="239">
        <v>7709079.5999999996</v>
      </c>
      <c r="I133" s="240"/>
      <c r="J133" s="11">
        <v>6607.63</v>
      </c>
      <c r="K133" s="240"/>
      <c r="L133" s="239">
        <v>8988.31</v>
      </c>
      <c r="M133" s="6"/>
      <c r="N133" s="6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x14ac:dyDescent="0.4">
      <c r="A134" s="7"/>
      <c r="B134" s="7"/>
      <c r="C134" s="7" t="s">
        <v>354</v>
      </c>
      <c r="D134" s="233">
        <v>6</v>
      </c>
      <c r="E134" s="233"/>
      <c r="F134" s="239">
        <v>107933427.44999999</v>
      </c>
      <c r="G134" s="239"/>
      <c r="H134" s="11">
        <v>-39204869.330000013</v>
      </c>
      <c r="I134" s="240"/>
      <c r="J134" s="11">
        <v>8868.31</v>
      </c>
      <c r="K134" s="240"/>
      <c r="L134" s="11">
        <v>-78103.03</v>
      </c>
      <c r="M134" s="6"/>
      <c r="N134" s="6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x14ac:dyDescent="0.4">
      <c r="A135" s="7"/>
      <c r="B135" s="7" t="s">
        <v>210</v>
      </c>
      <c r="C135" s="7"/>
      <c r="D135" s="232"/>
      <c r="E135" s="232"/>
      <c r="F135" s="239">
        <v>208656663.31999999</v>
      </c>
      <c r="G135" s="239"/>
      <c r="H135" s="239">
        <v>55525101.880000003</v>
      </c>
      <c r="I135" s="240"/>
      <c r="J135" s="11">
        <v>205314041.72</v>
      </c>
      <c r="K135" s="240"/>
      <c r="L135" s="11">
        <v>39619819.25</v>
      </c>
      <c r="M135" s="6"/>
      <c r="N135" s="6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4">
      <c r="A136" s="7"/>
      <c r="B136" s="7" t="s">
        <v>371</v>
      </c>
      <c r="C136" s="7"/>
      <c r="D136" s="232"/>
      <c r="E136" s="232"/>
      <c r="F136" s="239">
        <v>0</v>
      </c>
      <c r="G136" s="239"/>
      <c r="H136" s="239">
        <v>94560.26</v>
      </c>
      <c r="I136" s="240"/>
      <c r="J136" s="11">
        <v>0</v>
      </c>
      <c r="K136" s="240"/>
      <c r="L136" s="11">
        <v>0</v>
      </c>
      <c r="M136" s="6"/>
      <c r="N136" s="6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x14ac:dyDescent="0.4">
      <c r="A137" s="7"/>
      <c r="B137" s="7" t="s">
        <v>303</v>
      </c>
      <c r="C137" s="7"/>
      <c r="D137" s="233">
        <v>8.4</v>
      </c>
      <c r="E137" s="232"/>
      <c r="F137" s="239">
        <v>212116079.20000002</v>
      </c>
      <c r="G137" s="239"/>
      <c r="H137" s="239">
        <v>33501078.25</v>
      </c>
      <c r="I137" s="240"/>
      <c r="J137" s="11">
        <v>69959099.150000006</v>
      </c>
      <c r="K137" s="240"/>
      <c r="L137" s="11">
        <v>28007001.620000001</v>
      </c>
      <c r="M137" s="6"/>
      <c r="N137" s="6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4">
      <c r="A138" s="7"/>
      <c r="B138" s="7"/>
      <c r="C138" s="7" t="s">
        <v>161</v>
      </c>
      <c r="D138" s="233"/>
      <c r="E138" s="233"/>
      <c r="F138" s="133">
        <f>SUM(F131:F137)</f>
        <v>580696120.70000005</v>
      </c>
      <c r="G138" s="134"/>
      <c r="H138" s="133">
        <f>SUM(H131:H137)</f>
        <v>93495137.25999999</v>
      </c>
      <c r="I138" s="11"/>
      <c r="J138" s="133">
        <f>SUM(J131:J137)</f>
        <v>317019360.30000001</v>
      </c>
      <c r="K138" s="11"/>
      <c r="L138" s="133">
        <f>SUM(L131:L137)</f>
        <v>102536541.91</v>
      </c>
      <c r="M138" s="6"/>
      <c r="N138" s="6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5.25" customHeight="1" x14ac:dyDescent="0.4">
      <c r="A139" s="7"/>
      <c r="B139" s="7"/>
      <c r="C139" s="7"/>
      <c r="D139" s="233"/>
      <c r="E139" s="233"/>
      <c r="F139" s="239"/>
      <c r="G139" s="239"/>
      <c r="H139" s="239"/>
      <c r="I139" s="240"/>
      <c r="J139" s="11"/>
      <c r="K139" s="240"/>
      <c r="L139" s="11"/>
      <c r="M139" s="6"/>
      <c r="N139" s="6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4">
      <c r="A140" s="7" t="s">
        <v>308</v>
      </c>
      <c r="B140" s="7"/>
      <c r="C140" s="7"/>
      <c r="D140" s="233"/>
      <c r="E140" s="233"/>
      <c r="F140" s="239">
        <f>+F128-F138</f>
        <v>-450500167.87000006</v>
      </c>
      <c r="G140" s="239"/>
      <c r="H140" s="239">
        <f>+H128-H138</f>
        <v>324719685.57000005</v>
      </c>
      <c r="I140" s="240"/>
      <c r="J140" s="239">
        <f>+J128-J138</f>
        <v>-218919682.36000001</v>
      </c>
      <c r="K140" s="240"/>
      <c r="L140" s="239">
        <f>+L128-L138</f>
        <v>123581934.43000001</v>
      </c>
      <c r="M140" s="6"/>
      <c r="N140" s="6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x14ac:dyDescent="0.4">
      <c r="A141" s="7"/>
      <c r="B141" s="7" t="s">
        <v>211</v>
      </c>
      <c r="C141" s="7"/>
      <c r="D141" s="233"/>
      <c r="E141" s="233"/>
      <c r="F141" s="239">
        <v>6384101.5700000003</v>
      </c>
      <c r="G141" s="239"/>
      <c r="H141" s="239">
        <v>4913598.17</v>
      </c>
      <c r="I141" s="240"/>
      <c r="J141" s="239">
        <v>6488238.5600000005</v>
      </c>
      <c r="K141" s="240"/>
      <c r="L141" s="239">
        <v>5074827.68</v>
      </c>
      <c r="M141" s="6"/>
      <c r="N141" s="6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4">
      <c r="A142" s="7"/>
      <c r="B142" s="7" t="s">
        <v>318</v>
      </c>
      <c r="C142" s="7"/>
      <c r="D142" s="244">
        <v>10.199999999999999</v>
      </c>
      <c r="E142" s="232"/>
      <c r="F142" s="246">
        <v>-55315881.640000001</v>
      </c>
      <c r="G142" s="239"/>
      <c r="H142" s="246">
        <v>-13583274.9</v>
      </c>
      <c r="I142" s="240"/>
      <c r="J142" s="131">
        <v>-55315881.640000001</v>
      </c>
      <c r="K142" s="240"/>
      <c r="L142" s="131">
        <v>-13583274.9</v>
      </c>
      <c r="M142" s="6"/>
      <c r="N142" s="6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6" customHeight="1" x14ac:dyDescent="0.4">
      <c r="A143" s="7"/>
      <c r="B143" s="7"/>
      <c r="C143" s="7"/>
      <c r="D143" s="233"/>
      <c r="E143" s="233"/>
      <c r="F143" s="239"/>
      <c r="G143" s="239"/>
      <c r="H143" s="239"/>
      <c r="I143" s="240"/>
      <c r="J143" s="11"/>
      <c r="K143" s="240"/>
      <c r="L143" s="11"/>
      <c r="M143" s="6"/>
      <c r="N143" s="6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4">
      <c r="A144" s="7" t="s">
        <v>255</v>
      </c>
      <c r="B144" s="7"/>
      <c r="C144" s="7"/>
      <c r="D144" s="23"/>
      <c r="E144" s="23"/>
      <c r="F144" s="11">
        <f>+F140-F141+F142</f>
        <v>-512200151.08000004</v>
      </c>
      <c r="G144" s="134"/>
      <c r="H144" s="11">
        <f>+H140-H141+H142</f>
        <v>306222812.50000006</v>
      </c>
      <c r="I144" s="240"/>
      <c r="J144" s="11">
        <f>+J140-J141+J142</f>
        <v>-280723802.56</v>
      </c>
      <c r="K144" s="240"/>
      <c r="L144" s="11">
        <f>+L140-L141+L142</f>
        <v>104923831.84999999</v>
      </c>
      <c r="M144" s="6"/>
      <c r="N144" s="6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x14ac:dyDescent="0.4">
      <c r="A145" s="7" t="s">
        <v>387</v>
      </c>
      <c r="B145" s="7"/>
      <c r="C145" s="7"/>
      <c r="D145" s="234">
        <v>18.2</v>
      </c>
      <c r="F145" s="140">
        <v>49403617.399999999</v>
      </c>
      <c r="G145" s="239"/>
      <c r="H145" s="140">
        <v>-19753702.440000001</v>
      </c>
      <c r="I145" s="240"/>
      <c r="J145" s="131">
        <v>49140835.57</v>
      </c>
      <c r="K145" s="11"/>
      <c r="L145" s="131">
        <v>-21941268.41</v>
      </c>
      <c r="M145" s="6"/>
      <c r="N145" s="6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8" customHeight="1" thickBot="1" x14ac:dyDescent="0.45">
      <c r="A146" s="247" t="s">
        <v>162</v>
      </c>
      <c r="B146" s="7"/>
      <c r="C146" s="7"/>
      <c r="D146" s="233"/>
      <c r="E146" s="233"/>
      <c r="F146" s="251">
        <f>SUM(F144:F145)</f>
        <v>-462796533.68000007</v>
      </c>
      <c r="G146" s="239"/>
      <c r="H146" s="251">
        <f>SUM(H144:H145)</f>
        <v>286469110.06000006</v>
      </c>
      <c r="I146" s="240"/>
      <c r="J146" s="251">
        <f>SUM(J144:J145)</f>
        <v>-231582966.99000001</v>
      </c>
      <c r="K146" s="11"/>
      <c r="L146" s="251">
        <f>SUM(L144:L145)</f>
        <v>82982563.439999998</v>
      </c>
      <c r="M146" s="6"/>
      <c r="N146" s="6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6.75" customHeight="1" thickTop="1" x14ac:dyDescent="0.4">
      <c r="A147" s="247"/>
      <c r="B147" s="7"/>
      <c r="C147" s="7"/>
      <c r="D147" s="233"/>
      <c r="E147" s="233"/>
      <c r="F147" s="239"/>
      <c r="G147" s="239"/>
      <c r="H147" s="239"/>
      <c r="I147" s="240"/>
      <c r="J147" s="239"/>
      <c r="K147" s="11"/>
      <c r="L147" s="239"/>
      <c r="M147" s="6"/>
      <c r="N147" s="6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.75" customHeight="1" x14ac:dyDescent="0.4">
      <c r="A148" s="264" t="s">
        <v>237</v>
      </c>
      <c r="B148" s="265"/>
      <c r="C148" s="264"/>
      <c r="D148" s="233"/>
      <c r="E148" s="233"/>
      <c r="F148" s="239"/>
      <c r="G148" s="239"/>
      <c r="H148" s="239"/>
      <c r="I148" s="240"/>
      <c r="J148" s="239"/>
      <c r="K148" s="11"/>
      <c r="L148" s="239"/>
      <c r="M148" s="6"/>
      <c r="N148" s="6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8.75" x14ac:dyDescent="0.4">
      <c r="A149" s="264"/>
      <c r="B149" s="247" t="s">
        <v>238</v>
      </c>
      <c r="C149" s="264"/>
      <c r="D149" s="233"/>
      <c r="E149" s="233"/>
      <c r="F149" s="239">
        <f>+F146-F150</f>
        <v>-462574299.17000008</v>
      </c>
      <c r="G149" s="239"/>
      <c r="H149" s="239">
        <f>+H146-H150</f>
        <v>286717125.59000003</v>
      </c>
      <c r="I149" s="239"/>
      <c r="J149" s="239">
        <f>J146</f>
        <v>-231582966.99000001</v>
      </c>
      <c r="K149" s="239"/>
      <c r="L149" s="239">
        <f>L146</f>
        <v>82982563.439999998</v>
      </c>
      <c r="M149" s="6"/>
      <c r="N149" s="6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8.75" x14ac:dyDescent="0.4">
      <c r="A150" s="247"/>
      <c r="B150" s="7" t="s">
        <v>231</v>
      </c>
      <c r="C150" s="7"/>
      <c r="D150" s="233"/>
      <c r="E150" s="233"/>
      <c r="F150" s="246">
        <v>-222234.50999999998</v>
      </c>
      <c r="G150" s="16"/>
      <c r="H150" s="246">
        <v>-248015.53</v>
      </c>
      <c r="I150" s="171"/>
      <c r="J150" s="172">
        <v>0</v>
      </c>
      <c r="K150" s="171"/>
      <c r="L150" s="172">
        <v>0</v>
      </c>
      <c r="M150" s="6"/>
      <c r="N150" s="6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8.75" thickBot="1" x14ac:dyDescent="0.45">
      <c r="A151" s="7"/>
      <c r="B151" s="7"/>
      <c r="C151" s="7"/>
      <c r="D151" s="23"/>
      <c r="E151" s="23"/>
      <c r="F151" s="135">
        <f>SUM(F149:F150)</f>
        <v>-462796533.68000007</v>
      </c>
      <c r="G151" s="134"/>
      <c r="H151" s="135">
        <f>SUM(H149:H150)</f>
        <v>286469110.06000006</v>
      </c>
      <c r="I151" s="240"/>
      <c r="J151" s="135">
        <f>SUM(J149:J150)</f>
        <v>-231582966.99000001</v>
      </c>
      <c r="K151" s="240"/>
      <c r="L151" s="135">
        <f>SUM(L149:L150)</f>
        <v>82982563.439999998</v>
      </c>
      <c r="M151" s="6"/>
      <c r="N151" s="6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5.25" customHeight="1" thickTop="1" x14ac:dyDescent="0.4">
      <c r="A152" s="7"/>
      <c r="B152" s="7"/>
      <c r="C152" s="7"/>
      <c r="D152" s="233"/>
      <c r="E152" s="233"/>
      <c r="F152" s="239"/>
      <c r="G152" s="239"/>
      <c r="H152" s="239"/>
      <c r="I152" s="240"/>
      <c r="J152" s="16"/>
      <c r="K152" s="240"/>
      <c r="L152" s="16"/>
      <c r="M152" s="6"/>
      <c r="N152" s="6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5" customHeight="1" x14ac:dyDescent="0.4">
      <c r="A153" s="247" t="s">
        <v>245</v>
      </c>
      <c r="B153" s="7"/>
      <c r="C153" s="7"/>
      <c r="D153" s="254"/>
      <c r="E153" s="233"/>
      <c r="F153" s="239"/>
      <c r="G153" s="239"/>
      <c r="H153" s="239"/>
      <c r="I153" s="240"/>
      <c r="J153" s="16"/>
      <c r="K153" s="240"/>
      <c r="L153" s="16"/>
      <c r="M153" s="6"/>
      <c r="N153" s="6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8.75" thickBot="1" x14ac:dyDescent="0.45">
      <c r="A154" s="7"/>
      <c r="B154" s="247" t="s">
        <v>207</v>
      </c>
      <c r="C154" s="7"/>
      <c r="D154" s="233">
        <v>25</v>
      </c>
      <c r="E154" s="233"/>
      <c r="F154" s="144">
        <f>ROUND((+F149/F155),3)</f>
        <v>-4.2999999999999997E-2</v>
      </c>
      <c r="G154" s="256"/>
      <c r="H154" s="144">
        <f>ROUND((+H149/H155),3)</f>
        <v>3.1E-2</v>
      </c>
      <c r="I154" s="257"/>
      <c r="J154" s="144">
        <f>ROUND((+J149/J155),3)</f>
        <v>-2.1000000000000001E-2</v>
      </c>
      <c r="K154" s="257"/>
      <c r="L154" s="144">
        <f>ROUND((+L149/L155),3)</f>
        <v>8.9999999999999993E-3</v>
      </c>
      <c r="M154" s="6"/>
      <c r="N154" s="4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9.5" thickTop="1" thickBot="1" x14ac:dyDescent="0.45">
      <c r="A155" s="7"/>
      <c r="B155" s="247" t="s">
        <v>163</v>
      </c>
      <c r="C155" s="7"/>
      <c r="D155" s="233"/>
      <c r="E155" s="233"/>
      <c r="F155" s="143">
        <v>10800820471</v>
      </c>
      <c r="G155" s="260"/>
      <c r="H155" s="143">
        <v>9315208558</v>
      </c>
      <c r="I155" s="258"/>
      <c r="J155" s="143">
        <v>10800820471</v>
      </c>
      <c r="K155" s="260"/>
      <c r="L155" s="143">
        <v>9315208558</v>
      </c>
      <c r="M155" s="6"/>
      <c r="N155" s="4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6.75" customHeight="1" thickTop="1" x14ac:dyDescent="0.4">
      <c r="A156" s="7"/>
      <c r="B156" s="7"/>
      <c r="C156" s="7"/>
      <c r="D156" s="233"/>
      <c r="E156" s="233"/>
      <c r="F156" s="242"/>
      <c r="G156" s="242"/>
      <c r="H156" s="242"/>
      <c r="I156" s="240"/>
      <c r="J156" s="11"/>
      <c r="K156" s="240"/>
      <c r="L156" s="11"/>
      <c r="M156" s="6"/>
      <c r="N156" s="4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4.25" customHeight="1" x14ac:dyDescent="0.4">
      <c r="A157" s="247" t="s">
        <v>246</v>
      </c>
      <c r="B157" s="7"/>
      <c r="C157" s="7"/>
      <c r="D157" s="254"/>
      <c r="E157" s="233"/>
      <c r="F157" s="239"/>
      <c r="G157" s="239"/>
      <c r="H157" s="239"/>
      <c r="I157" s="240"/>
      <c r="J157" s="16"/>
      <c r="K157" s="240"/>
      <c r="L157" s="16"/>
      <c r="M157" s="6"/>
      <c r="N157" s="6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8.75" thickBot="1" x14ac:dyDescent="0.45">
      <c r="A158" s="7"/>
      <c r="B158" s="247" t="s">
        <v>207</v>
      </c>
      <c r="C158" s="7"/>
      <c r="D158" s="233">
        <v>25</v>
      </c>
      <c r="E158" s="233"/>
      <c r="F158" s="144">
        <f>ROUND((+F149/F159),3)</f>
        <v>-4.9000000000000002E-2</v>
      </c>
      <c r="G158" s="256"/>
      <c r="H158" s="144">
        <f>ROUND((+H149/H159),3)</f>
        <v>3.3000000000000002E-2</v>
      </c>
      <c r="I158" s="257"/>
      <c r="J158" s="144">
        <f>ROUND((+J149/J159),3)</f>
        <v>-2.4E-2</v>
      </c>
      <c r="K158" s="257"/>
      <c r="L158" s="144">
        <f>ROUND((+L149/L159),3)</f>
        <v>0.01</v>
      </c>
      <c r="M158" s="6"/>
      <c r="N158" s="4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9.5" thickTop="1" thickBot="1" x14ac:dyDescent="0.45">
      <c r="A159" s="7"/>
      <c r="B159" s="247" t="s">
        <v>163</v>
      </c>
      <c r="C159" s="7"/>
      <c r="D159" s="233"/>
      <c r="E159" s="233"/>
      <c r="F159" s="143">
        <v>9469188952.9324532</v>
      </c>
      <c r="G159" s="259"/>
      <c r="H159" s="143">
        <v>8702809269</v>
      </c>
      <c r="I159" s="258"/>
      <c r="J159" s="143">
        <v>9469188952.9324532</v>
      </c>
      <c r="K159" s="260"/>
      <c r="L159" s="143">
        <v>8702809269</v>
      </c>
      <c r="M159" s="6"/>
      <c r="N159" s="4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8.25" customHeight="1" thickTop="1" x14ac:dyDescent="0.4">
      <c r="A160" s="7"/>
      <c r="B160" s="7"/>
      <c r="C160" s="7"/>
      <c r="D160" s="233"/>
      <c r="E160" s="233"/>
      <c r="F160" s="233"/>
      <c r="G160" s="233"/>
      <c r="H160" s="233"/>
      <c r="I160" s="7"/>
      <c r="J160" s="9"/>
      <c r="K160" s="7"/>
      <c r="L160" s="9"/>
      <c r="M160" s="6"/>
      <c r="N160" s="4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x14ac:dyDescent="0.4">
      <c r="A161" s="243" t="str">
        <f>A87</f>
        <v>The accompanying interim notes to financial statements are an integral part of these interim financial statements.</v>
      </c>
      <c r="B161" s="7"/>
      <c r="C161" s="7"/>
      <c r="D161" s="233"/>
      <c r="E161" s="233"/>
      <c r="F161" s="233"/>
      <c r="G161" s="233"/>
      <c r="H161" s="233"/>
      <c r="I161" s="7"/>
      <c r="J161" s="9"/>
      <c r="K161" s="7"/>
      <c r="L161" s="9"/>
      <c r="M161" s="6"/>
      <c r="N161" s="4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1.25" customHeight="1" x14ac:dyDescent="0.4">
      <c r="A162" s="7"/>
      <c r="B162" s="7"/>
      <c r="C162" s="7"/>
      <c r="D162" s="233"/>
      <c r="E162" s="233"/>
      <c r="F162" s="233"/>
      <c r="G162" s="233"/>
      <c r="H162" s="233"/>
      <c r="I162" s="7"/>
      <c r="J162" s="9"/>
      <c r="K162" s="7"/>
      <c r="L162" s="9"/>
      <c r="M162" s="6"/>
      <c r="N162" s="4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6.5" customHeight="1" x14ac:dyDescent="0.4">
      <c r="A163" s="7"/>
      <c r="B163" s="7"/>
      <c r="C163" s="7"/>
      <c r="D163" s="233"/>
      <c r="E163" s="233"/>
      <c r="F163" s="233"/>
      <c r="G163" s="233"/>
      <c r="H163" s="233"/>
      <c r="I163" s="7"/>
      <c r="J163" s="9"/>
      <c r="K163" s="7"/>
      <c r="L163" s="9"/>
      <c r="M163" s="6"/>
      <c r="N163" s="4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x14ac:dyDescent="0.4">
      <c r="A164" s="233"/>
      <c r="B164" s="261" t="s">
        <v>145</v>
      </c>
      <c r="C164" s="233"/>
      <c r="D164" s="261"/>
      <c r="E164" s="233"/>
      <c r="G164" s="233"/>
      <c r="H164" s="261" t="s">
        <v>145</v>
      </c>
      <c r="I164" s="233"/>
      <c r="J164" s="233"/>
      <c r="K164" s="233"/>
      <c r="L164" s="23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7.25" customHeight="1" x14ac:dyDescent="0.4">
      <c r="A165" s="304"/>
      <c r="B165" s="304"/>
      <c r="C165" s="304"/>
      <c r="D165" s="304"/>
      <c r="E165" s="304"/>
      <c r="F165" s="304"/>
      <c r="G165" s="304"/>
      <c r="H165" s="304"/>
      <c r="I165" s="304"/>
      <c r="J165" s="304"/>
      <c r="K165" s="304"/>
      <c r="L165" s="304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.5" customHeight="1" x14ac:dyDescent="0.4">
      <c r="B166" s="7"/>
      <c r="C166" s="7"/>
      <c r="D166" s="23"/>
      <c r="E166" s="23"/>
      <c r="F166" s="13"/>
      <c r="G166" s="23"/>
      <c r="H166" s="13"/>
      <c r="I166" s="7"/>
      <c r="J166" s="13"/>
      <c r="K166" s="13"/>
      <c r="L166" s="266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x14ac:dyDescent="0.4">
      <c r="A167" s="7"/>
      <c r="B167" s="7"/>
      <c r="C167" s="7"/>
      <c r="D167" s="23"/>
      <c r="E167" s="23"/>
      <c r="F167" s="13"/>
      <c r="G167" s="23"/>
      <c r="H167" s="13"/>
      <c r="I167" s="7"/>
      <c r="J167" s="305" t="s">
        <v>312</v>
      </c>
      <c r="K167" s="305"/>
      <c r="L167" s="305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x14ac:dyDescent="0.4">
      <c r="A168" s="286" t="str">
        <f>A111</f>
        <v>THE BROOKER GROUP PUBLIC COMPANY LIMITED AND ITS SUBSIDIARIES</v>
      </c>
      <c r="B168" s="286"/>
      <c r="C168" s="286"/>
      <c r="D168" s="286"/>
      <c r="E168" s="286"/>
      <c r="F168" s="286"/>
      <c r="G168" s="286"/>
      <c r="H168" s="286"/>
      <c r="I168" s="286"/>
      <c r="J168" s="286"/>
      <c r="K168" s="286"/>
      <c r="L168" s="286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x14ac:dyDescent="0.4">
      <c r="A169" s="286" t="s">
        <v>224</v>
      </c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  <c r="L169" s="286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x14ac:dyDescent="0.4">
      <c r="A170" s="286" t="str">
        <f>A113</f>
        <v>FOR  THE SIX-MONTH PERIOD ENDED JUNE 30, 2024</v>
      </c>
      <c r="B170" s="286"/>
      <c r="C170" s="286"/>
      <c r="D170" s="286"/>
      <c r="E170" s="286"/>
      <c r="F170" s="286"/>
      <c r="G170" s="286"/>
      <c r="H170" s="286"/>
      <c r="I170" s="286"/>
      <c r="J170" s="286"/>
      <c r="K170" s="286"/>
      <c r="L170" s="286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x14ac:dyDescent="0.4">
      <c r="A171" s="7"/>
      <c r="B171" s="7"/>
      <c r="C171" s="19"/>
      <c r="F171" s="303" t="s">
        <v>132</v>
      </c>
      <c r="G171" s="303"/>
      <c r="H171" s="303"/>
      <c r="I171" s="303"/>
      <c r="J171" s="303"/>
      <c r="K171" s="303"/>
      <c r="L171" s="30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x14ac:dyDescent="0.4">
      <c r="A172" s="7"/>
      <c r="B172" s="7"/>
      <c r="C172" s="7" t="s">
        <v>4</v>
      </c>
      <c r="F172" s="302" t="s">
        <v>203</v>
      </c>
      <c r="G172" s="302"/>
      <c r="H172" s="302"/>
      <c r="J172" s="302" t="s">
        <v>204</v>
      </c>
      <c r="K172" s="302"/>
      <c r="L172" s="302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x14ac:dyDescent="0.4">
      <c r="A173" s="7"/>
      <c r="B173" s="7"/>
      <c r="C173" s="7"/>
      <c r="F173" s="302" t="str">
        <f>+F116</f>
        <v>For the six-month period ended June 30</v>
      </c>
      <c r="G173" s="302"/>
      <c r="H173" s="302"/>
      <c r="I173" s="1"/>
      <c r="J173" s="302" t="str">
        <f>+J116</f>
        <v>For the six-month period ended June 30</v>
      </c>
      <c r="K173" s="302"/>
      <c r="L173" s="302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x14ac:dyDescent="0.4">
      <c r="A174" s="7"/>
      <c r="B174" s="7"/>
      <c r="C174" s="7"/>
      <c r="D174" s="235" t="s">
        <v>133</v>
      </c>
      <c r="F174" s="235">
        <f>+F117</f>
        <v>2025</v>
      </c>
      <c r="H174" s="235">
        <f>+H117</f>
        <v>2024</v>
      </c>
      <c r="J174" s="235">
        <f>+J117</f>
        <v>2025</v>
      </c>
      <c r="K174" s="234"/>
      <c r="L174" s="235">
        <f>+L117</f>
        <v>2024</v>
      </c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x14ac:dyDescent="0.4">
      <c r="A175" s="238"/>
      <c r="B175" s="7"/>
      <c r="C175" s="7"/>
      <c r="D175" s="233"/>
      <c r="E175" s="233"/>
      <c r="F175" s="8"/>
      <c r="G175" s="8"/>
      <c r="H175" s="232"/>
      <c r="I175" s="7"/>
      <c r="J175" s="9"/>
      <c r="K175" s="7"/>
      <c r="L175" s="232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x14ac:dyDescent="0.4">
      <c r="A176" s="7" t="s">
        <v>311</v>
      </c>
      <c r="B176" s="7"/>
      <c r="C176" s="7"/>
      <c r="D176" s="233"/>
      <c r="E176" s="233"/>
      <c r="F176" s="140">
        <f>+F146</f>
        <v>-462796533.68000007</v>
      </c>
      <c r="G176" s="239"/>
      <c r="H176" s="140">
        <f>+H146</f>
        <v>286469110.06000006</v>
      </c>
      <c r="I176" s="240"/>
      <c r="J176" s="140">
        <f>+J146</f>
        <v>-231582966.99000001</v>
      </c>
      <c r="K176" s="240"/>
      <c r="L176" s="140">
        <f>+L146</f>
        <v>82982563.439999998</v>
      </c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x14ac:dyDescent="0.4">
      <c r="A177" s="7"/>
      <c r="B177" s="7"/>
      <c r="C177" s="7"/>
      <c r="D177" s="233"/>
      <c r="E177" s="233"/>
      <c r="F177" s="134"/>
      <c r="G177" s="239"/>
      <c r="H177" s="134"/>
      <c r="I177" s="240"/>
      <c r="J177" s="134"/>
      <c r="K177" s="240"/>
      <c r="L177" s="134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x14ac:dyDescent="0.4">
      <c r="A178" s="7" t="s">
        <v>239</v>
      </c>
      <c r="B178" s="7"/>
      <c r="C178" s="7"/>
      <c r="D178" s="233"/>
      <c r="E178" s="233"/>
      <c r="F178" s="134"/>
      <c r="G178" s="239"/>
      <c r="H178" s="134"/>
      <c r="I178" s="240"/>
      <c r="J178" s="16"/>
      <c r="K178" s="240"/>
      <c r="L178" s="16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x14ac:dyDescent="0.4">
      <c r="A179" s="7" t="s">
        <v>286</v>
      </c>
      <c r="B179" s="263"/>
      <c r="C179" s="263"/>
      <c r="D179" s="233"/>
      <c r="E179" s="233"/>
      <c r="F179" s="18"/>
      <c r="G179" s="239"/>
      <c r="H179" s="3"/>
      <c r="J179" s="3"/>
      <c r="L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x14ac:dyDescent="0.4">
      <c r="A180" s="263"/>
      <c r="B180" s="7" t="s">
        <v>287</v>
      </c>
      <c r="C180" s="263"/>
      <c r="D180" s="233"/>
      <c r="E180" s="233"/>
      <c r="F180" s="18"/>
      <c r="G180" s="239"/>
      <c r="H180" s="18"/>
      <c r="I180" s="240"/>
      <c r="J180" s="16"/>
      <c r="K180" s="240"/>
      <c r="L180" s="16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x14ac:dyDescent="0.4">
      <c r="A181" s="7"/>
      <c r="B181" s="267" t="s">
        <v>263</v>
      </c>
      <c r="C181" s="7"/>
      <c r="D181" s="233"/>
      <c r="E181" s="233"/>
      <c r="F181" s="18">
        <v>-26201761.294690099</v>
      </c>
      <c r="G181" s="239"/>
      <c r="H181" s="18">
        <v>23110743.059999999</v>
      </c>
      <c r="I181" s="240"/>
      <c r="J181" s="16">
        <v>0</v>
      </c>
      <c r="K181" s="240"/>
      <c r="L181" s="16">
        <v>0</v>
      </c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5.25" customHeight="1" x14ac:dyDescent="0.4">
      <c r="A182" s="7"/>
      <c r="B182" s="267"/>
      <c r="C182" s="7"/>
      <c r="D182" s="233"/>
      <c r="E182" s="233"/>
      <c r="F182" s="18"/>
      <c r="G182" s="239"/>
      <c r="H182" s="18"/>
      <c r="I182" s="240"/>
      <c r="J182" s="16"/>
      <c r="K182" s="240"/>
      <c r="L182" s="16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x14ac:dyDescent="0.4">
      <c r="A183" s="7" t="s">
        <v>288</v>
      </c>
      <c r="B183" s="263"/>
      <c r="C183" s="7"/>
      <c r="D183" s="233"/>
      <c r="E183" s="233"/>
      <c r="F183" s="18"/>
      <c r="G183" s="239"/>
      <c r="H183" s="18"/>
      <c r="I183" s="240"/>
      <c r="J183" s="16"/>
      <c r="K183" s="240"/>
      <c r="L183" s="16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x14ac:dyDescent="0.4">
      <c r="A184" s="263"/>
      <c r="B184" s="7" t="s">
        <v>287</v>
      </c>
      <c r="C184" s="7"/>
      <c r="D184" s="233"/>
      <c r="E184" s="233"/>
      <c r="F184" s="18"/>
      <c r="G184" s="239"/>
      <c r="H184" s="18"/>
      <c r="I184" s="240"/>
      <c r="J184" s="16"/>
      <c r="K184" s="240"/>
      <c r="L184" s="16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x14ac:dyDescent="0.4">
      <c r="A185" s="7"/>
      <c r="B185" s="7" t="s">
        <v>289</v>
      </c>
      <c r="C185" s="7"/>
      <c r="D185" s="233">
        <v>22</v>
      </c>
      <c r="E185" s="233"/>
      <c r="F185" s="18">
        <v>-3457443</v>
      </c>
      <c r="G185" s="239"/>
      <c r="H185" s="18">
        <v>0</v>
      </c>
      <c r="I185" s="240"/>
      <c r="J185" s="16">
        <v>-3444178</v>
      </c>
      <c r="K185" s="240"/>
      <c r="L185" s="16">
        <v>0</v>
      </c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x14ac:dyDescent="0.4">
      <c r="A186" s="7"/>
      <c r="B186" s="7" t="s">
        <v>290</v>
      </c>
      <c r="C186" s="7"/>
      <c r="D186" s="233"/>
      <c r="E186" s="233"/>
      <c r="F186" s="140">
        <v>691488.6</v>
      </c>
      <c r="G186" s="239"/>
      <c r="H186" s="140">
        <v>0</v>
      </c>
      <c r="I186" s="240"/>
      <c r="J186" s="131">
        <v>688835.6</v>
      </c>
      <c r="K186" s="240"/>
      <c r="L186" s="131">
        <v>0</v>
      </c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x14ac:dyDescent="0.4">
      <c r="A187" s="7" t="s">
        <v>315</v>
      </c>
      <c r="B187" s="7"/>
      <c r="C187" s="7"/>
      <c r="D187" s="233"/>
      <c r="E187" s="233"/>
      <c r="F187" s="141">
        <f>SUM(F179:F186)</f>
        <v>-28967715.694690097</v>
      </c>
      <c r="G187" s="239"/>
      <c r="H187" s="141">
        <f>SUM(H180:H186)</f>
        <v>23110743.059999999</v>
      </c>
      <c r="I187" s="240"/>
      <c r="J187" s="141">
        <f>SUM(J180:J186)</f>
        <v>-2755342.4</v>
      </c>
      <c r="K187" s="240"/>
      <c r="L187" s="141">
        <f>SUM(L180:L186)</f>
        <v>0</v>
      </c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x14ac:dyDescent="0.4">
      <c r="A188" s="7"/>
      <c r="B188" s="7"/>
      <c r="C188" s="7"/>
      <c r="D188" s="233"/>
      <c r="E188" s="233"/>
      <c r="F188" s="134"/>
      <c r="G188" s="239"/>
      <c r="H188" s="134"/>
      <c r="I188" s="240"/>
      <c r="J188" s="11"/>
      <c r="K188" s="240"/>
      <c r="L188" s="11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8.75" thickBot="1" x14ac:dyDescent="0.45">
      <c r="A189" s="7" t="s">
        <v>310</v>
      </c>
      <c r="B189" s="7"/>
      <c r="C189" s="7"/>
      <c r="D189" s="233"/>
      <c r="E189" s="233"/>
      <c r="F189" s="139">
        <f>+F176+F187</f>
        <v>-491764249.37469018</v>
      </c>
      <c r="G189" s="239"/>
      <c r="H189" s="139">
        <f>+H176+H187</f>
        <v>309579853.12000006</v>
      </c>
      <c r="I189" s="240"/>
      <c r="J189" s="139">
        <f>+J176+J187</f>
        <v>-234338309.39000002</v>
      </c>
      <c r="K189" s="240"/>
      <c r="L189" s="139">
        <f>+L176+L187</f>
        <v>82982563.439999998</v>
      </c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8.75" thickTop="1" x14ac:dyDescent="0.4">
      <c r="A190" s="7"/>
      <c r="B190" s="7"/>
      <c r="C190" s="7"/>
      <c r="D190" s="233"/>
      <c r="E190" s="233"/>
      <c r="F190" s="242"/>
      <c r="G190" s="242"/>
      <c r="H190" s="242"/>
      <c r="I190" s="240"/>
      <c r="J190" s="11"/>
      <c r="K190" s="240"/>
      <c r="L190" s="11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8.75" x14ac:dyDescent="0.4">
      <c r="A191" s="247" t="s">
        <v>240</v>
      </c>
      <c r="B191" s="247"/>
      <c r="C191" s="247"/>
      <c r="D191" s="268"/>
      <c r="E191" s="173"/>
      <c r="F191" s="172"/>
      <c r="G191" s="269"/>
      <c r="H191" s="172"/>
      <c r="I191" s="171"/>
      <c r="J191" s="172"/>
      <c r="K191" s="269"/>
      <c r="L191" s="269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8.75" x14ac:dyDescent="0.4">
      <c r="A192" s="247"/>
      <c r="B192" s="247" t="s">
        <v>238</v>
      </c>
      <c r="C192" s="247"/>
      <c r="D192" s="268"/>
      <c r="E192" s="270">
        <v>852812933</v>
      </c>
      <c r="F192" s="18">
        <f>+F189-F193</f>
        <v>-491542014.86469018</v>
      </c>
      <c r="G192" s="239"/>
      <c r="H192" s="18">
        <f>+H189-H193</f>
        <v>309827868.65000004</v>
      </c>
      <c r="I192" s="239"/>
      <c r="J192" s="18">
        <f>+J189-J193</f>
        <v>-234338309.39000002</v>
      </c>
      <c r="K192" s="239"/>
      <c r="L192" s="18">
        <f>+L189-L193</f>
        <v>82982563.439999998</v>
      </c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8.75" x14ac:dyDescent="0.4">
      <c r="A193" s="247"/>
      <c r="B193" s="7" t="s">
        <v>231</v>
      </c>
      <c r="C193" s="7"/>
      <c r="D193" s="268"/>
      <c r="E193" s="270">
        <v>-1541152</v>
      </c>
      <c r="F193" s="18">
        <f>+F150</f>
        <v>-222234.50999999998</v>
      </c>
      <c r="G193" s="16"/>
      <c r="H193" s="18">
        <f>+H150</f>
        <v>-248015.53</v>
      </c>
      <c r="I193" s="171"/>
      <c r="J193" s="18">
        <f>+J150</f>
        <v>0</v>
      </c>
      <c r="K193" s="171"/>
      <c r="L193" s="18">
        <f>+L150</f>
        <v>0</v>
      </c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9.5" thickBot="1" x14ac:dyDescent="0.45">
      <c r="A194" s="271"/>
      <c r="B194" s="271"/>
      <c r="C194" s="271"/>
      <c r="D194" s="268"/>
      <c r="E194" s="270"/>
      <c r="F194" s="142">
        <f>SUM(F192:F193)</f>
        <v>-491764249.37469018</v>
      </c>
      <c r="G194" s="269"/>
      <c r="H194" s="251">
        <f>SUM(H192:H193)</f>
        <v>309579853.12000006</v>
      </c>
      <c r="I194" s="269"/>
      <c r="J194" s="142">
        <f>SUM(J192:J193)</f>
        <v>-234338309.39000002</v>
      </c>
      <c r="K194" s="269"/>
      <c r="L194" s="251">
        <f>SUM(L192:L193)</f>
        <v>82982563.439999998</v>
      </c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9.5" thickTop="1" x14ac:dyDescent="0.4">
      <c r="A195" s="271"/>
      <c r="B195" s="271"/>
      <c r="C195" s="271"/>
      <c r="D195" s="268"/>
      <c r="E195" s="270"/>
      <c r="F195" s="18"/>
      <c r="G195" s="269"/>
      <c r="H195" s="239"/>
      <c r="I195" s="269"/>
      <c r="J195" s="239"/>
      <c r="K195" s="269"/>
      <c r="L195" s="239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8.75" x14ac:dyDescent="0.4">
      <c r="A196" s="243" t="str">
        <f>+A161</f>
        <v>The accompanying interim notes to financial statements are an integral part of these interim financial statements.</v>
      </c>
      <c r="B196" s="271"/>
      <c r="C196" s="271"/>
      <c r="D196" s="268"/>
      <c r="E196" s="270"/>
      <c r="F196" s="18"/>
      <c r="G196" s="269"/>
      <c r="H196" s="239"/>
      <c r="I196" s="269"/>
      <c r="J196" s="239"/>
      <c r="K196" s="269"/>
      <c r="L196" s="239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8.75" x14ac:dyDescent="0.4">
      <c r="A197" s="271"/>
      <c r="B197" s="271"/>
      <c r="C197" s="271"/>
      <c r="D197" s="268"/>
      <c r="E197" s="270"/>
      <c r="F197" s="18"/>
      <c r="G197" s="269"/>
      <c r="H197" s="239"/>
      <c r="I197" s="269"/>
      <c r="J197" s="239"/>
      <c r="K197" s="269"/>
      <c r="L197" s="239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8.75" x14ac:dyDescent="0.4">
      <c r="A198" s="271"/>
      <c r="B198" s="271"/>
      <c r="C198" s="271"/>
      <c r="D198" s="268"/>
      <c r="E198" s="270"/>
      <c r="F198" s="18"/>
      <c r="G198" s="269"/>
      <c r="H198" s="239"/>
      <c r="I198" s="269"/>
      <c r="J198" s="239"/>
      <c r="K198" s="269"/>
      <c r="L198" s="239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8.75" x14ac:dyDescent="0.4">
      <c r="A199" s="271"/>
      <c r="B199" s="271"/>
      <c r="C199" s="271"/>
      <c r="D199" s="268"/>
      <c r="E199" s="270"/>
      <c r="F199" s="18"/>
      <c r="G199" s="269"/>
      <c r="H199" s="239"/>
      <c r="I199" s="269"/>
      <c r="J199" s="239"/>
      <c r="K199" s="269"/>
      <c r="L199" s="239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8.75" x14ac:dyDescent="0.4">
      <c r="A200" s="271"/>
      <c r="B200" s="271"/>
      <c r="C200" s="271"/>
      <c r="D200" s="268"/>
      <c r="E200" s="270"/>
      <c r="F200" s="18"/>
      <c r="G200" s="269"/>
      <c r="H200" s="239"/>
      <c r="I200" s="269"/>
      <c r="J200" s="239"/>
      <c r="K200" s="269"/>
      <c r="L200" s="239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8.75" x14ac:dyDescent="0.4">
      <c r="A201" s="271"/>
      <c r="B201" s="271"/>
      <c r="C201" s="271"/>
      <c r="D201" s="268"/>
      <c r="E201" s="270"/>
      <c r="F201" s="18"/>
      <c r="G201" s="269"/>
      <c r="H201" s="239"/>
      <c r="I201" s="269"/>
      <c r="J201" s="239"/>
      <c r="K201" s="269"/>
      <c r="L201" s="239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8.75" x14ac:dyDescent="0.4">
      <c r="A202" s="271"/>
      <c r="B202" s="271"/>
      <c r="C202" s="271"/>
      <c r="D202" s="268"/>
      <c r="E202" s="270"/>
      <c r="F202" s="18"/>
      <c r="G202" s="269"/>
      <c r="H202" s="239"/>
      <c r="I202" s="269"/>
      <c r="J202" s="239"/>
      <c r="K202" s="269"/>
      <c r="L202" s="239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8.75" x14ac:dyDescent="0.4">
      <c r="A203" s="271"/>
      <c r="B203" s="271"/>
      <c r="C203" s="271"/>
      <c r="D203" s="268"/>
      <c r="E203" s="270"/>
      <c r="F203" s="18"/>
      <c r="G203" s="269"/>
      <c r="H203" s="239"/>
      <c r="I203" s="269"/>
      <c r="J203" s="239"/>
      <c r="K203" s="269"/>
      <c r="L203" s="239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8.75" x14ac:dyDescent="0.4">
      <c r="A204" s="271"/>
      <c r="B204" s="271"/>
      <c r="C204" s="271"/>
      <c r="D204" s="268"/>
      <c r="E204" s="270"/>
      <c r="F204" s="18"/>
      <c r="G204" s="269"/>
      <c r="H204" s="239"/>
      <c r="I204" s="269"/>
      <c r="J204" s="239"/>
      <c r="K204" s="269"/>
      <c r="L204" s="239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8.75" x14ac:dyDescent="0.4">
      <c r="A205" s="271"/>
      <c r="B205" s="271"/>
      <c r="C205" s="271"/>
      <c r="D205" s="268"/>
      <c r="E205" s="270"/>
      <c r="F205" s="18"/>
      <c r="G205" s="269"/>
      <c r="H205" s="239"/>
      <c r="I205" s="269"/>
      <c r="J205" s="239"/>
      <c r="K205" s="269"/>
      <c r="L205" s="239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8.75" x14ac:dyDescent="0.4">
      <c r="A206" s="271"/>
      <c r="B206" s="271"/>
      <c r="C206" s="271"/>
      <c r="D206" s="268"/>
      <c r="E206" s="270"/>
      <c r="F206" s="18"/>
      <c r="G206" s="269"/>
      <c r="H206" s="239"/>
      <c r="I206" s="269"/>
      <c r="J206" s="239"/>
      <c r="K206" s="269"/>
      <c r="L206" s="239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x14ac:dyDescent="0.4">
      <c r="A207" s="271"/>
      <c r="B207" s="271"/>
      <c r="C207" s="271"/>
      <c r="D207" s="268"/>
      <c r="E207" s="270"/>
      <c r="F207" s="18"/>
      <c r="G207" s="269"/>
      <c r="H207" s="239"/>
      <c r="I207" s="269"/>
      <c r="J207" s="239"/>
      <c r="K207" s="269"/>
      <c r="L207" s="239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8.75" x14ac:dyDescent="0.4">
      <c r="A208" s="271"/>
      <c r="B208" s="271"/>
      <c r="C208" s="271"/>
      <c r="D208" s="268"/>
      <c r="E208" s="270"/>
      <c r="F208" s="18"/>
      <c r="G208" s="269"/>
      <c r="H208" s="239"/>
      <c r="I208" s="269"/>
      <c r="J208" s="239"/>
      <c r="K208" s="269"/>
      <c r="L208" s="239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8.75" x14ac:dyDescent="0.4">
      <c r="A209" s="271"/>
      <c r="B209" s="271"/>
      <c r="C209" s="271"/>
      <c r="D209" s="268"/>
      <c r="E209" s="270"/>
      <c r="F209" s="18"/>
      <c r="G209" s="269"/>
      <c r="H209" s="239"/>
      <c r="I209" s="269"/>
      <c r="J209" s="239"/>
      <c r="K209" s="269"/>
      <c r="L209" s="239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8.75" x14ac:dyDescent="0.4">
      <c r="A210" s="271"/>
      <c r="B210" s="271"/>
      <c r="C210" s="271"/>
      <c r="D210" s="268"/>
      <c r="E210" s="270"/>
      <c r="F210" s="18"/>
      <c r="G210" s="269"/>
      <c r="H210" s="239"/>
      <c r="I210" s="269"/>
      <c r="J210" s="239"/>
      <c r="K210" s="269"/>
      <c r="L210" s="239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8.75" x14ac:dyDescent="0.4">
      <c r="A211" s="271"/>
      <c r="B211" s="271"/>
      <c r="C211" s="271"/>
      <c r="D211" s="268"/>
      <c r="E211" s="270"/>
      <c r="F211" s="18"/>
      <c r="G211" s="269"/>
      <c r="H211" s="239"/>
      <c r="I211" s="269"/>
      <c r="J211" s="239"/>
      <c r="K211" s="269"/>
      <c r="L211" s="239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8.75" x14ac:dyDescent="0.4">
      <c r="A212" s="271"/>
      <c r="B212" s="271"/>
      <c r="C212" s="271"/>
      <c r="D212" s="268"/>
      <c r="E212" s="270"/>
      <c r="F212" s="18"/>
      <c r="G212" s="269"/>
      <c r="H212" s="239"/>
      <c r="I212" s="269"/>
      <c r="J212" s="239"/>
      <c r="K212" s="269"/>
      <c r="L212" s="239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8.75" x14ac:dyDescent="0.4">
      <c r="A213" s="271"/>
      <c r="B213" s="271"/>
      <c r="C213" s="271"/>
      <c r="D213" s="268"/>
      <c r="E213" s="270"/>
      <c r="F213" s="18"/>
      <c r="G213" s="269"/>
      <c r="H213" s="239"/>
      <c r="I213" s="269"/>
      <c r="J213" s="239"/>
      <c r="K213" s="269"/>
      <c r="L213" s="239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8.75" x14ac:dyDescent="0.4">
      <c r="A214" s="271"/>
      <c r="B214" s="271"/>
      <c r="C214" s="271"/>
      <c r="D214" s="268"/>
      <c r="E214" s="270"/>
      <c r="F214" s="18"/>
      <c r="G214" s="269"/>
      <c r="H214" s="239"/>
      <c r="I214" s="269"/>
      <c r="J214" s="239"/>
      <c r="K214" s="269"/>
      <c r="L214" s="239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8.75" x14ac:dyDescent="0.4">
      <c r="A215" s="271"/>
      <c r="B215" s="271"/>
      <c r="C215" s="271"/>
      <c r="D215" s="268"/>
      <c r="E215" s="270"/>
      <c r="F215" s="18"/>
      <c r="G215" s="269"/>
      <c r="H215" s="239"/>
      <c r="I215" s="269"/>
      <c r="J215" s="239"/>
      <c r="K215" s="269"/>
      <c r="L215" s="239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8.75" x14ac:dyDescent="0.4">
      <c r="A216" s="271"/>
      <c r="B216" s="271"/>
      <c r="C216" s="271"/>
      <c r="D216" s="268"/>
      <c r="E216" s="270"/>
      <c r="F216" s="18"/>
      <c r="G216" s="270"/>
      <c r="H216" s="8"/>
      <c r="I216" s="270"/>
      <c r="J216" s="8"/>
      <c r="K216" s="270"/>
      <c r="L216" s="8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x14ac:dyDescent="0.4">
      <c r="A217" s="250"/>
      <c r="B217" s="7"/>
      <c r="C217" s="7"/>
      <c r="D217" s="233"/>
      <c r="E217" s="233"/>
      <c r="F217" s="233"/>
      <c r="G217" s="233"/>
      <c r="H217" s="233"/>
      <c r="I217" s="7"/>
      <c r="J217" s="9"/>
      <c r="K217" s="7"/>
      <c r="L217" s="9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x14ac:dyDescent="0.4">
      <c r="A218" s="7"/>
      <c r="B218" s="7"/>
      <c r="C218" s="7"/>
      <c r="D218" s="233"/>
      <c r="E218" s="233"/>
      <c r="F218" s="233"/>
      <c r="G218" s="233"/>
      <c r="H218" s="233"/>
      <c r="I218" s="7"/>
      <c r="J218" s="9"/>
      <c r="K218" s="7"/>
      <c r="L218" s="9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x14ac:dyDescent="0.4">
      <c r="A219" s="233"/>
      <c r="B219" s="261" t="s">
        <v>145</v>
      </c>
      <c r="C219" s="233"/>
      <c r="D219" s="261"/>
      <c r="E219" s="233"/>
      <c r="G219" s="233"/>
      <c r="H219" s="261" t="s">
        <v>145</v>
      </c>
      <c r="I219" s="233"/>
      <c r="J219" s="233"/>
      <c r="K219" s="233"/>
      <c r="L219" s="23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x14ac:dyDescent="0.4">
      <c r="A220" s="233"/>
      <c r="B220" s="261"/>
      <c r="C220" s="233"/>
      <c r="D220" s="261"/>
      <c r="E220" s="233"/>
      <c r="G220" s="233"/>
      <c r="H220" s="261"/>
      <c r="I220" s="233"/>
      <c r="J220" s="233"/>
      <c r="K220" s="233"/>
      <c r="L220" s="23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</sheetData>
  <mergeCells count="52">
    <mergeCell ref="J1:L1"/>
    <mergeCell ref="J58:L58"/>
    <mergeCell ref="F7:H7"/>
    <mergeCell ref="J7:L7"/>
    <mergeCell ref="F65:H65"/>
    <mergeCell ref="J65:L65"/>
    <mergeCell ref="A59:L59"/>
    <mergeCell ref="A2:L2"/>
    <mergeCell ref="A3:L3"/>
    <mergeCell ref="A4:L4"/>
    <mergeCell ref="A57:L57"/>
    <mergeCell ref="F6:H6"/>
    <mergeCell ref="J6:L6"/>
    <mergeCell ref="F5:L5"/>
    <mergeCell ref="A60:L60"/>
    <mergeCell ref="U7:W7"/>
    <mergeCell ref="Y7:AA7"/>
    <mergeCell ref="P52:AA52"/>
    <mergeCell ref="P53:AA53"/>
    <mergeCell ref="J110:L110"/>
    <mergeCell ref="P99:AA99"/>
    <mergeCell ref="U56:AA56"/>
    <mergeCell ref="U57:W57"/>
    <mergeCell ref="Y57:AA57"/>
    <mergeCell ref="P2:AA2"/>
    <mergeCell ref="P3:AA3"/>
    <mergeCell ref="P4:AA4"/>
    <mergeCell ref="U5:AA5"/>
    <mergeCell ref="U6:W6"/>
    <mergeCell ref="Y6:AA6"/>
    <mergeCell ref="A111:L111"/>
    <mergeCell ref="A61:L61"/>
    <mergeCell ref="F63:L63"/>
    <mergeCell ref="F64:H64"/>
    <mergeCell ref="J64:L64"/>
    <mergeCell ref="A112:L112"/>
    <mergeCell ref="A113:L113"/>
    <mergeCell ref="F114:L114"/>
    <mergeCell ref="F115:H115"/>
    <mergeCell ref="J115:L115"/>
    <mergeCell ref="F116:H116"/>
    <mergeCell ref="J116:L116"/>
    <mergeCell ref="A165:L165"/>
    <mergeCell ref="J167:L167"/>
    <mergeCell ref="A168:L168"/>
    <mergeCell ref="F173:H173"/>
    <mergeCell ref="J173:L173"/>
    <mergeCell ref="A169:L169"/>
    <mergeCell ref="A170:L170"/>
    <mergeCell ref="F171:L171"/>
    <mergeCell ref="F172:H172"/>
    <mergeCell ref="J172:L172"/>
  </mergeCells>
  <phoneticPr fontId="0" type="noConversion"/>
  <conditionalFormatting sqref="G41 I41:L41 F82:L82 E82:E106 G84:G106 I84:I106 K84:K106">
    <cfRule type="expression" priority="7" stopIfTrue="1">
      <formula>"if(E11&gt;0,#,##0;(#,##0),"-")"</formula>
    </cfRule>
  </conditionalFormatting>
  <conditionalFormatting sqref="G150 I150:L150 F191:L191 E191:E216 G193:G216 I193:I216 K193:K216">
    <cfRule type="expression" priority="1" stopIfTrue="1">
      <formula>"if(E11&gt;0,#,##0;(#,##0),"-")"</formula>
    </cfRule>
  </conditionalFormatting>
  <conditionalFormatting sqref="U35:AA35 T35:T38 X37:Y37 AA37 V37:V38 Z37:Z38 X38 T73:T76 V75:V76 X75:X76 Z75:Z76">
    <cfRule type="expression" priority="3" stopIfTrue="1">
      <formula>"if(E11&gt;0,#,##0;(#,##0),"-")"</formula>
    </cfRule>
  </conditionalFormatting>
  <conditionalFormatting sqref="U73:AA73">
    <cfRule type="expression" priority="2" stopIfTrue="1">
      <formula>"if(E11&gt;0,#,##0;(#,##0),"-")"</formula>
    </cfRule>
  </conditionalFormatting>
  <pageMargins left="0.62992125984251968" right="0.23622047244094491" top="0.35433070866141736" bottom="0.35433070866141736" header="0.31496062992125984" footer="0.31496062992125984"/>
  <pageSetup paperSize="9" scale="87" firstPageNumber="6" orientation="portrait" useFirstPageNumber="1" r:id="rId1"/>
  <headerFooter alignWithMargins="0">
    <oddFooter>&amp;C&amp;P</oddFooter>
  </headerFooter>
  <rowBreaks count="3" manualBreakCount="3">
    <brk id="56" max="11" man="1"/>
    <brk id="109" max="11" man="1"/>
    <brk id="166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B157"/>
  <sheetViews>
    <sheetView view="pageBreakPreview" zoomScaleNormal="120" zoomScaleSheetLayoutView="100" workbookViewId="0">
      <selection activeCell="D6" sqref="D6"/>
    </sheetView>
  </sheetViews>
  <sheetFormatPr defaultColWidth="9.140625" defaultRowHeight="16.5" customHeight="1" x14ac:dyDescent="0.4"/>
  <cols>
    <col min="1" max="3" width="2.85546875" style="247" customWidth="1"/>
    <col min="4" max="4" width="48" style="247" bestFit="1" customWidth="1"/>
    <col min="5" max="5" width="6" style="233" customWidth="1"/>
    <col min="6" max="6" width="1.140625" style="233" customWidth="1"/>
    <col min="7" max="7" width="13.85546875" style="247" customWidth="1"/>
    <col min="8" max="8" width="0.85546875" style="247" customWidth="1"/>
    <col min="9" max="9" width="13.85546875" style="247" customWidth="1"/>
    <col min="10" max="10" width="0.5703125" style="247" customWidth="1"/>
    <col min="11" max="11" width="13.85546875" style="277" customWidth="1"/>
    <col min="12" max="12" width="0.85546875" style="247" customWidth="1"/>
    <col min="13" max="13" width="13.85546875" style="247" customWidth="1"/>
    <col min="14" max="14" width="1.85546875" style="247" customWidth="1"/>
    <col min="15" max="15" width="12.85546875" style="247" customWidth="1"/>
    <col min="16" max="18" width="2.85546875" style="247" customWidth="1"/>
    <col min="19" max="19" width="44.140625" style="247" customWidth="1"/>
    <col min="20" max="20" width="6.42578125" style="233" customWidth="1"/>
    <col min="21" max="21" width="0.85546875" style="233" customWidth="1"/>
    <col min="22" max="22" width="13.5703125" style="247" customWidth="1"/>
    <col min="23" max="23" width="0.85546875" style="247" customWidth="1"/>
    <col min="24" max="24" width="14.85546875" style="247" customWidth="1"/>
    <col min="25" max="25" width="0.5703125" style="247" customWidth="1"/>
    <col min="26" max="26" width="13.42578125" style="247" customWidth="1"/>
    <col min="27" max="27" width="0.85546875" style="247" customWidth="1"/>
    <col min="28" max="28" width="14" style="247" customWidth="1"/>
    <col min="29" max="16384" width="9.140625" style="247"/>
  </cols>
  <sheetData>
    <row r="1" spans="1:28" ht="16.5" customHeight="1" x14ac:dyDescent="0.4">
      <c r="K1" s="309" t="s">
        <v>312</v>
      </c>
      <c r="L1" s="309"/>
      <c r="M1" s="309"/>
      <c r="P1" s="243"/>
      <c r="Q1" s="243"/>
      <c r="R1" s="243"/>
      <c r="S1" s="243"/>
      <c r="U1" s="272"/>
      <c r="V1" s="243"/>
      <c r="W1" s="243"/>
      <c r="X1" s="243"/>
      <c r="Y1" s="243"/>
      <c r="Z1" s="306"/>
      <c r="AA1" s="306"/>
      <c r="AB1" s="306"/>
    </row>
    <row r="2" spans="1:28" ht="16.5" customHeight="1" x14ac:dyDescent="0.4">
      <c r="A2" s="286" t="s">
        <v>131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</row>
    <row r="3" spans="1:28" ht="16.5" customHeight="1" x14ac:dyDescent="0.4">
      <c r="A3" s="306" t="s">
        <v>177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</row>
    <row r="4" spans="1:28" ht="16.5" customHeight="1" x14ac:dyDescent="0.4">
      <c r="A4" s="306" t="s">
        <v>374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</row>
    <row r="5" spans="1:28" ht="16.5" customHeight="1" x14ac:dyDescent="0.4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</row>
    <row r="6" spans="1:28" ht="16.5" customHeight="1" x14ac:dyDescent="0.4">
      <c r="A6" s="232"/>
      <c r="B6" s="232"/>
      <c r="C6" s="232"/>
      <c r="D6" s="232"/>
      <c r="E6" s="273"/>
      <c r="F6" s="273"/>
      <c r="G6" s="312" t="s">
        <v>164</v>
      </c>
      <c r="H6" s="312"/>
      <c r="I6" s="312"/>
      <c r="J6" s="312"/>
      <c r="K6" s="312"/>
      <c r="L6" s="312"/>
      <c r="M6" s="312"/>
      <c r="P6" s="232"/>
      <c r="Q6" s="232"/>
      <c r="R6" s="232"/>
      <c r="S6" s="232"/>
      <c r="T6" s="232"/>
      <c r="U6" s="232"/>
      <c r="V6" s="306"/>
      <c r="W6" s="306"/>
      <c r="X6" s="306"/>
      <c r="Y6" s="306"/>
      <c r="Z6" s="306"/>
      <c r="AA6" s="306"/>
      <c r="AB6" s="306"/>
    </row>
    <row r="7" spans="1:28" ht="16.5" customHeight="1" x14ac:dyDescent="0.4">
      <c r="E7" s="273"/>
      <c r="F7" s="273"/>
      <c r="G7" s="313" t="s">
        <v>203</v>
      </c>
      <c r="H7" s="313"/>
      <c r="I7" s="313"/>
      <c r="J7" s="7"/>
      <c r="K7" s="313" t="s">
        <v>204</v>
      </c>
      <c r="L7" s="313"/>
      <c r="M7" s="313"/>
      <c r="V7" s="306"/>
      <c r="W7" s="306"/>
      <c r="X7" s="306"/>
      <c r="Y7" s="232"/>
      <c r="Z7" s="306"/>
      <c r="AA7" s="306"/>
      <c r="AB7" s="306"/>
    </row>
    <row r="8" spans="1:28" ht="16.5" customHeight="1" x14ac:dyDescent="0.4">
      <c r="E8" s="273"/>
      <c r="F8" s="273"/>
      <c r="G8" s="313" t="s">
        <v>370</v>
      </c>
      <c r="H8" s="313"/>
      <c r="I8" s="313"/>
      <c r="J8" s="274"/>
      <c r="K8" s="313" t="str">
        <f>+G8</f>
        <v>For the six-month period ended June 30</v>
      </c>
      <c r="L8" s="313"/>
      <c r="M8" s="313"/>
      <c r="V8" s="304"/>
      <c r="W8" s="304"/>
      <c r="X8" s="304"/>
      <c r="Y8" s="7"/>
      <c r="Z8" s="304"/>
      <c r="AA8" s="304"/>
      <c r="AB8" s="304"/>
    </row>
    <row r="9" spans="1:28" ht="16.5" customHeight="1" x14ac:dyDescent="0.4">
      <c r="E9" s="273"/>
      <c r="F9" s="273"/>
      <c r="G9" s="275">
        <v>2025</v>
      </c>
      <c r="H9" s="233"/>
      <c r="I9" s="275">
        <v>2024</v>
      </c>
      <c r="J9" s="7"/>
      <c r="K9" s="275">
        <f>+G9</f>
        <v>2025</v>
      </c>
      <c r="L9" s="233"/>
      <c r="M9" s="275">
        <f>+I9</f>
        <v>2024</v>
      </c>
      <c r="N9" s="233"/>
      <c r="O9" s="20"/>
      <c r="V9" s="161"/>
      <c r="W9" s="233"/>
      <c r="X9" s="161"/>
      <c r="Y9" s="161"/>
      <c r="Z9" s="161"/>
      <c r="AA9" s="233"/>
      <c r="AB9" s="161"/>
    </row>
    <row r="10" spans="1:28" ht="16.5" customHeight="1" x14ac:dyDescent="0.4">
      <c r="A10" s="247" t="s">
        <v>178</v>
      </c>
      <c r="B10" s="243"/>
      <c r="C10" s="243"/>
      <c r="D10" s="243"/>
      <c r="E10" s="273"/>
      <c r="F10" s="272"/>
      <c r="G10" s="276"/>
      <c r="H10" s="276"/>
      <c r="I10" s="276"/>
      <c r="J10" s="277"/>
      <c r="L10" s="277"/>
      <c r="M10" s="277"/>
      <c r="V10" s="162"/>
      <c r="W10" s="233"/>
      <c r="X10" s="162"/>
      <c r="Y10" s="162"/>
      <c r="Z10" s="162"/>
      <c r="AA10" s="233"/>
      <c r="AB10" s="162"/>
    </row>
    <row r="11" spans="1:28" ht="16.5" customHeight="1" x14ac:dyDescent="0.4">
      <c r="A11" s="243"/>
      <c r="B11" s="247" t="s">
        <v>264</v>
      </c>
      <c r="C11" s="243"/>
      <c r="D11" s="243"/>
      <c r="E11" s="273"/>
      <c r="F11" s="272"/>
      <c r="G11" s="11">
        <f>+'PL_Q2-68'!F146</f>
        <v>-462796533.68000007</v>
      </c>
      <c r="H11" s="11"/>
      <c r="I11" s="11">
        <f>+'PL_Q2-68'!H146</f>
        <v>286469110.06000006</v>
      </c>
      <c r="J11" s="11"/>
      <c r="K11" s="11">
        <f>+'PL_Q2-68'!J146</f>
        <v>-231582966.99000001</v>
      </c>
      <c r="L11" s="11"/>
      <c r="M11" s="11">
        <f>+'PL_Q2-68'!L146</f>
        <v>82982563.439999998</v>
      </c>
      <c r="P11" s="243"/>
      <c r="Q11" s="243"/>
      <c r="R11" s="243"/>
      <c r="S11" s="243"/>
      <c r="U11" s="272"/>
      <c r="V11" s="243"/>
      <c r="W11" s="243"/>
      <c r="X11" s="243"/>
      <c r="Y11" s="243"/>
      <c r="Z11" s="243"/>
      <c r="AA11" s="243"/>
      <c r="AB11" s="243"/>
    </row>
    <row r="12" spans="1:28" ht="16.5" customHeight="1" x14ac:dyDescent="0.4">
      <c r="A12" s="243"/>
      <c r="B12" s="247" t="s">
        <v>180</v>
      </c>
      <c r="C12" s="243"/>
      <c r="D12" s="243"/>
      <c r="E12" s="273"/>
      <c r="F12" s="272"/>
      <c r="G12" s="11"/>
      <c r="H12" s="11"/>
      <c r="I12" s="11"/>
      <c r="J12" s="11"/>
      <c r="K12" s="11"/>
      <c r="L12" s="11"/>
      <c r="M12" s="11"/>
      <c r="P12" s="243"/>
      <c r="Q12" s="243"/>
      <c r="R12" s="243"/>
      <c r="S12" s="243"/>
      <c r="T12" s="272"/>
      <c r="U12" s="272"/>
      <c r="V12" s="152"/>
      <c r="W12" s="152"/>
      <c r="X12" s="152"/>
      <c r="Y12" s="152"/>
      <c r="Z12" s="152"/>
      <c r="AA12" s="152"/>
      <c r="AB12" s="152"/>
    </row>
    <row r="13" spans="1:28" ht="16.5" customHeight="1" x14ac:dyDescent="0.4">
      <c r="A13" s="243"/>
      <c r="C13" s="247" t="s">
        <v>199</v>
      </c>
      <c r="D13" s="243"/>
      <c r="E13" s="272"/>
      <c r="F13" s="272"/>
      <c r="G13" s="11"/>
      <c r="H13" s="11"/>
      <c r="I13" s="11"/>
      <c r="J13" s="11"/>
      <c r="K13" s="11"/>
      <c r="L13" s="11"/>
      <c r="M13" s="11"/>
      <c r="P13" s="243"/>
      <c r="Q13" s="243"/>
      <c r="R13" s="243"/>
      <c r="S13" s="243"/>
      <c r="T13" s="272"/>
      <c r="U13" s="272"/>
      <c r="V13" s="152"/>
      <c r="W13" s="152"/>
      <c r="X13" s="152"/>
      <c r="Y13" s="152"/>
      <c r="Z13" s="152"/>
      <c r="AA13" s="152"/>
      <c r="AB13" s="152"/>
    </row>
    <row r="14" spans="1:28" ht="16.5" customHeight="1" x14ac:dyDescent="0.4">
      <c r="A14" s="243"/>
      <c r="C14" s="247" t="s">
        <v>179</v>
      </c>
      <c r="D14" s="247" t="s">
        <v>181</v>
      </c>
      <c r="E14" s="272" t="s">
        <v>320</v>
      </c>
      <c r="F14" s="272"/>
      <c r="G14" s="11">
        <v>3374815.42</v>
      </c>
      <c r="H14" s="11"/>
      <c r="I14" s="11">
        <v>5788568.1799999997</v>
      </c>
      <c r="J14" s="11"/>
      <c r="K14" s="11">
        <v>3366573.82</v>
      </c>
      <c r="L14" s="11"/>
      <c r="M14" s="11">
        <v>3777694.78</v>
      </c>
      <c r="P14" s="243"/>
      <c r="Q14" s="243"/>
      <c r="R14" s="243"/>
      <c r="S14" s="243"/>
      <c r="T14" s="272"/>
      <c r="U14" s="272"/>
      <c r="V14" s="152"/>
      <c r="W14" s="152"/>
      <c r="Y14" s="152"/>
      <c r="Z14" s="152"/>
      <c r="AA14" s="152"/>
    </row>
    <row r="15" spans="1:28" ht="16.5" customHeight="1" x14ac:dyDescent="0.4">
      <c r="A15" s="243"/>
      <c r="D15" s="243" t="s">
        <v>383</v>
      </c>
      <c r="E15" s="272"/>
      <c r="F15" s="272"/>
      <c r="G15" s="11">
        <v>0</v>
      </c>
      <c r="H15" s="11"/>
      <c r="I15" s="11">
        <v>2860663.58</v>
      </c>
      <c r="J15" s="11"/>
      <c r="K15" s="11">
        <v>0</v>
      </c>
      <c r="L15" s="11"/>
      <c r="M15" s="175">
        <v>0</v>
      </c>
      <c r="P15" s="243"/>
      <c r="Q15" s="243"/>
      <c r="R15" s="243"/>
      <c r="S15" s="243"/>
      <c r="T15" s="272"/>
      <c r="U15" s="272"/>
      <c r="V15" s="152"/>
      <c r="W15" s="152"/>
      <c r="Y15" s="152"/>
      <c r="Z15" s="152"/>
      <c r="AA15" s="152"/>
    </row>
    <row r="16" spans="1:28" ht="16.5" customHeight="1" x14ac:dyDescent="0.4">
      <c r="A16" s="243"/>
      <c r="D16" s="243" t="s">
        <v>365</v>
      </c>
      <c r="E16" s="272" t="s">
        <v>364</v>
      </c>
      <c r="F16" s="272"/>
      <c r="G16" s="11">
        <v>118425031.84</v>
      </c>
      <c r="H16" s="11"/>
      <c r="I16" s="11">
        <v>0</v>
      </c>
      <c r="J16" s="11"/>
      <c r="K16" s="11">
        <v>118425031.84</v>
      </c>
      <c r="L16" s="11"/>
      <c r="M16" s="170">
        <v>0</v>
      </c>
      <c r="P16" s="243"/>
      <c r="Q16" s="243"/>
      <c r="R16" s="243"/>
      <c r="S16" s="243"/>
      <c r="T16" s="272"/>
      <c r="U16" s="272"/>
      <c r="V16" s="152"/>
      <c r="W16" s="152"/>
      <c r="X16" s="152"/>
      <c r="Y16" s="152"/>
      <c r="Z16" s="152"/>
      <c r="AA16" s="152"/>
      <c r="AB16" s="152"/>
    </row>
    <row r="17" spans="1:28" ht="16.5" customHeight="1" x14ac:dyDescent="0.4">
      <c r="A17" s="243"/>
      <c r="B17" s="243"/>
      <c r="C17" s="243"/>
      <c r="D17" s="243" t="s">
        <v>321</v>
      </c>
      <c r="E17" s="272">
        <v>10</v>
      </c>
      <c r="F17" s="272"/>
      <c r="G17" s="11">
        <v>55315881.649999999</v>
      </c>
      <c r="H17" s="11"/>
      <c r="I17" s="11">
        <v>13583274.9</v>
      </c>
      <c r="J17" s="11"/>
      <c r="K17" s="11">
        <v>55315881.649999999</v>
      </c>
      <c r="L17" s="11"/>
      <c r="M17" s="11">
        <v>13583274.9</v>
      </c>
      <c r="P17" s="243"/>
      <c r="Q17" s="243"/>
      <c r="R17" s="243"/>
      <c r="S17" s="243"/>
      <c r="T17" s="272"/>
      <c r="U17" s="272"/>
      <c r="V17" s="152"/>
      <c r="W17" s="152"/>
      <c r="Y17" s="152"/>
      <c r="Z17" s="152"/>
      <c r="AA17" s="152"/>
    </row>
    <row r="18" spans="1:28" ht="16.5" customHeight="1" x14ac:dyDescent="0.4">
      <c r="A18" s="243"/>
      <c r="B18" s="243"/>
      <c r="C18" s="243"/>
      <c r="D18" s="7" t="s">
        <v>355</v>
      </c>
      <c r="E18" s="163">
        <v>8.4</v>
      </c>
      <c r="F18" s="272"/>
      <c r="G18" s="11">
        <v>212116079.19999999</v>
      </c>
      <c r="H18" s="16"/>
      <c r="I18" s="11">
        <v>33501078.25</v>
      </c>
      <c r="J18" s="16"/>
      <c r="K18" s="11">
        <v>69959099.150000006</v>
      </c>
      <c r="L18" s="11"/>
      <c r="M18" s="11">
        <v>28007001.620000001</v>
      </c>
      <c r="P18" s="243"/>
      <c r="Q18" s="243"/>
      <c r="R18" s="243"/>
      <c r="S18" s="243"/>
      <c r="T18" s="244"/>
      <c r="U18" s="272"/>
      <c r="V18" s="152"/>
      <c r="W18" s="152"/>
      <c r="Y18" s="152"/>
      <c r="Z18" s="152"/>
      <c r="AA18" s="152"/>
    </row>
    <row r="19" spans="1:28" ht="16.5" customHeight="1" x14ac:dyDescent="0.4">
      <c r="A19" s="243"/>
      <c r="B19" s="243"/>
      <c r="C19" s="243"/>
      <c r="D19" s="7" t="s">
        <v>309</v>
      </c>
      <c r="E19" s="163">
        <v>6</v>
      </c>
      <c r="F19" s="272"/>
      <c r="G19" s="11">
        <v>107933427.44999999</v>
      </c>
      <c r="H19" s="16"/>
      <c r="I19" s="11">
        <v>-39204869.329999998</v>
      </c>
      <c r="J19" s="16"/>
      <c r="K19" s="11">
        <v>8868.31</v>
      </c>
      <c r="L19" s="11"/>
      <c r="M19" s="11">
        <v>-78103.03</v>
      </c>
      <c r="P19" s="243"/>
      <c r="Q19" s="243"/>
      <c r="R19" s="243"/>
      <c r="S19" s="243"/>
      <c r="T19" s="272"/>
      <c r="U19" s="272"/>
      <c r="V19" s="152"/>
      <c r="W19" s="152"/>
      <c r="Y19" s="152"/>
      <c r="Z19" s="152"/>
      <c r="AA19" s="152"/>
    </row>
    <row r="20" spans="1:28" ht="16.5" customHeight="1" x14ac:dyDescent="0.4">
      <c r="A20" s="243"/>
      <c r="B20" s="243"/>
      <c r="C20" s="243"/>
      <c r="D20" s="7" t="s">
        <v>382</v>
      </c>
      <c r="E20" s="163">
        <v>6</v>
      </c>
      <c r="F20" s="272"/>
      <c r="G20" s="11">
        <v>0</v>
      </c>
      <c r="H20" s="16"/>
      <c r="I20" s="11">
        <v>-118720783.69</v>
      </c>
      <c r="J20" s="16"/>
      <c r="K20" s="11">
        <v>0</v>
      </c>
      <c r="L20" s="11"/>
      <c r="M20" s="11">
        <v>-34420.730000000003</v>
      </c>
      <c r="P20" s="243"/>
      <c r="Q20" s="243"/>
      <c r="R20" s="243"/>
      <c r="S20" s="243"/>
      <c r="T20" s="272"/>
      <c r="U20" s="272"/>
      <c r="V20" s="152"/>
      <c r="W20" s="152"/>
      <c r="Y20" s="152"/>
      <c r="Z20" s="152"/>
      <c r="AA20" s="152"/>
    </row>
    <row r="21" spans="1:28" ht="16.5" customHeight="1" x14ac:dyDescent="0.4">
      <c r="A21" s="243"/>
      <c r="B21" s="243"/>
      <c r="C21" s="243"/>
      <c r="D21" s="7" t="s">
        <v>316</v>
      </c>
      <c r="E21" s="164"/>
      <c r="F21" s="272"/>
      <c r="G21" s="11">
        <v>-50820883.399999999</v>
      </c>
      <c r="H21" s="16"/>
      <c r="I21" s="11">
        <v>-94968945.670000002</v>
      </c>
      <c r="J21" s="16"/>
      <c r="K21" s="11">
        <v>-17595.189999999999</v>
      </c>
      <c r="L21" s="11"/>
      <c r="M21" s="11">
        <v>633.47</v>
      </c>
      <c r="P21" s="243"/>
      <c r="Q21" s="243"/>
      <c r="R21" s="243"/>
      <c r="S21" s="7"/>
      <c r="T21" s="272"/>
      <c r="U21" s="272"/>
      <c r="V21" s="152"/>
      <c r="W21" s="152"/>
      <c r="Y21" s="152"/>
      <c r="Z21" s="152"/>
      <c r="AA21" s="152"/>
    </row>
    <row r="22" spans="1:28" ht="16.5" customHeight="1" x14ac:dyDescent="0.4">
      <c r="A22" s="243"/>
      <c r="B22" s="243"/>
      <c r="C22" s="243"/>
      <c r="D22" s="7" t="s">
        <v>331</v>
      </c>
      <c r="E22" s="164"/>
      <c r="F22" s="272"/>
      <c r="G22" s="11">
        <v>-5000000</v>
      </c>
      <c r="H22" s="16"/>
      <c r="I22" s="11">
        <v>-4000000</v>
      </c>
      <c r="J22" s="16"/>
      <c r="K22" s="11">
        <v>-5000000</v>
      </c>
      <c r="L22" s="11"/>
      <c r="M22" s="11">
        <v>-4000000</v>
      </c>
      <c r="P22" s="243"/>
      <c r="Q22" s="243"/>
      <c r="R22" s="243"/>
      <c r="S22" s="243"/>
      <c r="T22" s="244"/>
      <c r="U22" s="272"/>
      <c r="V22" s="152"/>
      <c r="W22" s="152"/>
      <c r="X22" s="152"/>
      <c r="Y22" s="152"/>
      <c r="Z22" s="152"/>
      <c r="AA22" s="152"/>
      <c r="AB22" s="152"/>
    </row>
    <row r="23" spans="1:28" ht="16.5" customHeight="1" x14ac:dyDescent="0.4">
      <c r="A23" s="243"/>
      <c r="B23" s="243"/>
      <c r="C23" s="243"/>
      <c r="D23" s="243" t="s">
        <v>265</v>
      </c>
      <c r="E23" s="233">
        <v>22</v>
      </c>
      <c r="F23" s="272"/>
      <c r="G23" s="11">
        <v>2017166</v>
      </c>
      <c r="H23" s="16"/>
      <c r="I23" s="11">
        <v>1448365</v>
      </c>
      <c r="J23" s="16"/>
      <c r="K23" s="11">
        <v>2009677</v>
      </c>
      <c r="L23" s="11"/>
      <c r="M23" s="11">
        <v>1431566.34</v>
      </c>
      <c r="P23" s="243"/>
      <c r="Q23" s="243"/>
      <c r="R23" s="243"/>
      <c r="S23" s="243"/>
      <c r="T23" s="272"/>
      <c r="U23" s="272"/>
      <c r="V23" s="152"/>
      <c r="W23" s="152"/>
      <c r="Y23" s="152"/>
      <c r="Z23" s="152"/>
      <c r="AA23" s="152"/>
    </row>
    <row r="24" spans="1:28" ht="16.5" customHeight="1" x14ac:dyDescent="0.4">
      <c r="A24" s="243"/>
      <c r="B24" s="243"/>
      <c r="C24" s="243"/>
      <c r="D24" s="243" t="s">
        <v>267</v>
      </c>
      <c r="E24" s="233">
        <v>18.100000000000001</v>
      </c>
      <c r="F24" s="272"/>
      <c r="G24" s="11">
        <v>0</v>
      </c>
      <c r="I24" s="247">
        <v>31412400.600000001</v>
      </c>
      <c r="K24" s="11">
        <v>0</v>
      </c>
      <c r="M24" s="247">
        <v>31412400.600000001</v>
      </c>
      <c r="S24" s="7"/>
      <c r="V24" s="152"/>
      <c r="Z24" s="152"/>
    </row>
    <row r="25" spans="1:28" ht="16.5" customHeight="1" x14ac:dyDescent="0.4">
      <c r="A25" s="243"/>
      <c r="B25" s="243"/>
      <c r="C25" s="243"/>
      <c r="D25" s="243" t="s">
        <v>266</v>
      </c>
      <c r="E25" s="233">
        <v>18.100000000000001</v>
      </c>
      <c r="F25" s="272"/>
      <c r="G25" s="16">
        <v>-49403617.399999999</v>
      </c>
      <c r="H25" s="16"/>
      <c r="I25" s="16">
        <v>-11658698.16</v>
      </c>
      <c r="J25" s="16"/>
      <c r="K25" s="247">
        <v>-49140835.570000015</v>
      </c>
      <c r="L25" s="16"/>
      <c r="M25" s="16">
        <v>-9471132.1899999995</v>
      </c>
      <c r="P25" s="243"/>
      <c r="Q25" s="243"/>
      <c r="R25" s="243"/>
      <c r="S25" s="7"/>
      <c r="T25" s="244"/>
      <c r="U25" s="272"/>
      <c r="V25" s="152"/>
      <c r="W25" s="152"/>
      <c r="Y25" s="152"/>
      <c r="Z25" s="152"/>
      <c r="AA25" s="152"/>
    </row>
    <row r="26" spans="1:28" ht="16.5" customHeight="1" x14ac:dyDescent="0.4">
      <c r="A26" s="243"/>
      <c r="B26" s="243"/>
      <c r="C26" s="243"/>
      <c r="D26" s="243" t="s">
        <v>211</v>
      </c>
      <c r="E26" s="272"/>
      <c r="F26" s="272"/>
      <c r="G26" s="131">
        <v>6384101.5700000003</v>
      </c>
      <c r="H26" s="11"/>
      <c r="I26" s="131">
        <v>4913598.17</v>
      </c>
      <c r="J26" s="11"/>
      <c r="K26" s="131">
        <v>6488238.5599999996</v>
      </c>
      <c r="L26" s="11"/>
      <c r="M26" s="131">
        <v>5074827.68</v>
      </c>
      <c r="P26" s="243"/>
      <c r="Q26" s="243"/>
      <c r="R26" s="243"/>
      <c r="S26" s="243"/>
      <c r="T26" s="272"/>
      <c r="U26" s="272"/>
      <c r="V26" s="152"/>
      <c r="W26" s="152"/>
      <c r="Y26" s="152"/>
      <c r="Z26" s="152"/>
      <c r="AA26" s="152"/>
    </row>
    <row r="27" spans="1:28" ht="16.5" customHeight="1" x14ac:dyDescent="0.4">
      <c r="A27" s="243"/>
      <c r="B27" s="243" t="s">
        <v>241</v>
      </c>
      <c r="C27" s="243"/>
      <c r="D27" s="243"/>
      <c r="E27" s="272"/>
      <c r="F27" s="272"/>
      <c r="G27" s="11">
        <f>+SUM(G11:G26)</f>
        <v>-62454531.350000121</v>
      </c>
      <c r="H27" s="16"/>
      <c r="I27" s="11">
        <f>+SUM(I11:I26)</f>
        <v>111423761.89000006</v>
      </c>
      <c r="J27" s="16"/>
      <c r="K27" s="11">
        <f>+SUM(K11:K26)</f>
        <v>-30168027.42000002</v>
      </c>
      <c r="L27" s="16"/>
      <c r="M27" s="11">
        <f>+SUM(M11:M26)</f>
        <v>152686306.88000003</v>
      </c>
      <c r="P27" s="243"/>
      <c r="Q27" s="243"/>
      <c r="R27" s="243"/>
      <c r="S27" s="243"/>
      <c r="T27" s="272"/>
      <c r="U27" s="272"/>
      <c r="V27" s="152"/>
      <c r="W27" s="152"/>
      <c r="X27" s="152"/>
      <c r="Y27" s="152"/>
      <c r="Z27" s="152"/>
      <c r="AA27" s="152"/>
      <c r="AB27" s="152"/>
    </row>
    <row r="28" spans="1:28" ht="16.5" customHeight="1" x14ac:dyDescent="0.4">
      <c r="A28" s="243"/>
      <c r="B28" s="261" t="s">
        <v>182</v>
      </c>
      <c r="C28" s="243"/>
      <c r="D28" s="243"/>
      <c r="E28" s="272"/>
      <c r="F28" s="272"/>
      <c r="G28" s="11"/>
      <c r="H28" s="16"/>
      <c r="I28" s="11"/>
      <c r="J28" s="16"/>
      <c r="K28" s="11"/>
      <c r="L28" s="16"/>
      <c r="M28" s="11"/>
      <c r="P28" s="243"/>
      <c r="Q28" s="243"/>
      <c r="R28" s="243"/>
      <c r="S28" s="243"/>
      <c r="T28" s="272"/>
      <c r="U28" s="272"/>
      <c r="V28" s="240"/>
      <c r="W28" s="240"/>
      <c r="X28" s="240"/>
      <c r="Y28" s="240"/>
      <c r="Z28" s="240"/>
      <c r="AA28" s="240"/>
      <c r="AB28" s="240"/>
    </row>
    <row r="29" spans="1:28" ht="16.5" customHeight="1" x14ac:dyDescent="0.4">
      <c r="A29" s="243"/>
      <c r="B29" s="243"/>
      <c r="C29" s="238" t="s">
        <v>298</v>
      </c>
      <c r="D29" s="243"/>
      <c r="E29" s="244">
        <v>8.3000000000000007</v>
      </c>
      <c r="F29" s="272"/>
      <c r="G29" s="11">
        <v>55166883.82</v>
      </c>
      <c r="H29" s="11"/>
      <c r="I29" s="11">
        <v>-107587424.02</v>
      </c>
      <c r="J29" s="11"/>
      <c r="K29" s="11">
        <v>0</v>
      </c>
      <c r="L29" s="11"/>
      <c r="M29" s="11">
        <v>-84568636.319999993</v>
      </c>
      <c r="P29" s="243"/>
      <c r="Q29" s="243"/>
      <c r="S29" s="243"/>
      <c r="T29" s="244"/>
      <c r="U29" s="272"/>
      <c r="V29" s="152"/>
      <c r="W29" s="152"/>
      <c r="Y29" s="152"/>
      <c r="Z29" s="152"/>
      <c r="AA29" s="152"/>
      <c r="AB29" s="16"/>
    </row>
    <row r="30" spans="1:28" ht="16.5" customHeight="1" x14ac:dyDescent="0.4">
      <c r="A30" s="243"/>
      <c r="B30" s="243"/>
      <c r="C30" s="243" t="s">
        <v>233</v>
      </c>
      <c r="D30" s="243"/>
      <c r="E30" s="272">
        <v>4</v>
      </c>
      <c r="F30" s="272"/>
      <c r="G30" s="11">
        <v>-16343966.83</v>
      </c>
      <c r="H30" s="11"/>
      <c r="I30" s="11">
        <v>-18581232.829999998</v>
      </c>
      <c r="J30" s="11"/>
      <c r="K30" s="11">
        <v>-14552000</v>
      </c>
      <c r="L30" s="11"/>
      <c r="M30" s="11">
        <v>-26386455.199999999</v>
      </c>
      <c r="P30" s="243"/>
      <c r="Q30" s="243"/>
      <c r="R30" s="243"/>
      <c r="S30" s="243"/>
      <c r="T30" s="272"/>
      <c r="U30" s="272"/>
      <c r="V30" s="152"/>
      <c r="W30" s="152"/>
      <c r="Y30" s="152"/>
      <c r="Z30" s="152"/>
      <c r="AA30" s="152"/>
    </row>
    <row r="31" spans="1:28" ht="16.5" customHeight="1" x14ac:dyDescent="0.4">
      <c r="A31" s="243"/>
      <c r="B31" s="243"/>
      <c r="C31" s="243" t="s">
        <v>232</v>
      </c>
      <c r="D31" s="243"/>
      <c r="E31" s="244"/>
      <c r="F31" s="272"/>
      <c r="G31" s="11">
        <v>0</v>
      </c>
      <c r="H31" s="11"/>
      <c r="I31" s="11">
        <v>46824.480000000003</v>
      </c>
      <c r="J31" s="11"/>
      <c r="K31" s="11">
        <v>0</v>
      </c>
      <c r="L31" s="11"/>
      <c r="M31" s="11">
        <v>-3328175.52</v>
      </c>
      <c r="P31" s="243"/>
      <c r="Q31" s="243"/>
      <c r="R31" s="243"/>
      <c r="S31" s="243"/>
      <c r="T31" s="244"/>
      <c r="U31" s="272"/>
      <c r="V31" s="152"/>
      <c r="W31" s="152"/>
      <c r="X31" s="152"/>
      <c r="Y31" s="152"/>
      <c r="Z31" s="152"/>
      <c r="AA31" s="152"/>
      <c r="AB31" s="152"/>
    </row>
    <row r="32" spans="1:28" ht="16.5" customHeight="1" x14ac:dyDescent="0.4">
      <c r="A32" s="243"/>
      <c r="B32" s="243"/>
      <c r="C32" s="243" t="s">
        <v>250</v>
      </c>
      <c r="D32" s="243"/>
      <c r="E32" s="272">
        <v>5</v>
      </c>
      <c r="F32" s="272"/>
      <c r="G32" s="11">
        <v>32871848.960000001</v>
      </c>
      <c r="H32" s="11"/>
      <c r="I32" s="11">
        <v>-43434173.740000002</v>
      </c>
      <c r="J32" s="11"/>
      <c r="K32" s="11">
        <v>-27609635.029999997</v>
      </c>
      <c r="L32" s="11"/>
      <c r="M32" s="11">
        <v>27950297.710000001</v>
      </c>
      <c r="P32" s="243"/>
      <c r="Q32" s="243"/>
      <c r="R32" s="243"/>
      <c r="S32" s="243"/>
      <c r="T32" s="272"/>
      <c r="U32" s="272"/>
      <c r="V32" s="152"/>
      <c r="W32" s="152"/>
      <c r="Y32" s="152"/>
      <c r="Z32" s="152"/>
      <c r="AA32" s="152"/>
    </row>
    <row r="33" spans="1:28" ht="16.5" customHeight="1" x14ac:dyDescent="0.4">
      <c r="A33" s="243"/>
      <c r="B33" s="243"/>
      <c r="C33" s="243" t="s">
        <v>249</v>
      </c>
      <c r="D33" s="243"/>
      <c r="E33" s="244"/>
      <c r="F33" s="272"/>
      <c r="G33" s="11"/>
      <c r="H33" s="11"/>
      <c r="I33" s="11">
        <v>0</v>
      </c>
      <c r="J33" s="11"/>
      <c r="K33" s="11">
        <v>0</v>
      </c>
      <c r="L33" s="11"/>
      <c r="M33" s="11">
        <v>1558310.71</v>
      </c>
      <c r="P33" s="243"/>
      <c r="Q33" s="243"/>
      <c r="R33" s="243"/>
      <c r="S33" s="243"/>
      <c r="T33" s="244"/>
      <c r="U33" s="272"/>
      <c r="V33" s="152"/>
      <c r="W33" s="152"/>
      <c r="X33" s="16"/>
      <c r="Y33" s="152"/>
      <c r="Z33" s="152"/>
      <c r="AA33" s="152"/>
    </row>
    <row r="34" spans="1:28" ht="16.5" customHeight="1" x14ac:dyDescent="0.4">
      <c r="A34" s="243"/>
      <c r="B34" s="243"/>
      <c r="C34" s="243" t="s">
        <v>334</v>
      </c>
      <c r="D34" s="243"/>
      <c r="E34" s="272">
        <v>6</v>
      </c>
      <c r="F34" s="272"/>
      <c r="G34" s="11">
        <v>-8535796.3499999996</v>
      </c>
      <c r="H34" s="11"/>
      <c r="I34" s="11">
        <v>-1476724.2</v>
      </c>
      <c r="J34" s="11"/>
      <c r="K34" s="11">
        <v>0</v>
      </c>
      <c r="L34" s="11"/>
      <c r="M34" s="175">
        <v>0</v>
      </c>
      <c r="P34" s="243"/>
      <c r="Q34" s="243"/>
      <c r="R34" s="243"/>
      <c r="S34" s="243"/>
      <c r="T34" s="244"/>
      <c r="U34" s="272"/>
      <c r="V34" s="152"/>
      <c r="W34" s="152"/>
      <c r="X34" s="16"/>
      <c r="Y34" s="152"/>
      <c r="Z34" s="152"/>
      <c r="AA34" s="152"/>
    </row>
    <row r="35" spans="1:28" ht="16.5" customHeight="1" x14ac:dyDescent="0.4">
      <c r="A35" s="243"/>
      <c r="B35" s="243"/>
      <c r="C35" s="243" t="s">
        <v>345</v>
      </c>
      <c r="D35" s="243"/>
      <c r="E35" s="272">
        <v>15</v>
      </c>
      <c r="F35" s="272"/>
      <c r="G35" s="11">
        <v>0</v>
      </c>
      <c r="H35" s="11"/>
      <c r="I35" s="11">
        <v>-188725791.44999999</v>
      </c>
      <c r="J35" s="11"/>
      <c r="K35" s="11">
        <v>0</v>
      </c>
      <c r="L35" s="11"/>
      <c r="M35" s="175">
        <v>0</v>
      </c>
      <c r="P35" s="243"/>
      <c r="Q35" s="243"/>
      <c r="R35" s="243"/>
      <c r="S35" s="243"/>
      <c r="T35" s="244"/>
      <c r="U35" s="272"/>
      <c r="V35" s="152"/>
      <c r="W35" s="152"/>
      <c r="X35" s="16"/>
      <c r="Y35" s="152"/>
      <c r="Z35" s="152"/>
      <c r="AA35" s="152"/>
    </row>
    <row r="36" spans="1:28" ht="16.5" customHeight="1" x14ac:dyDescent="0.4">
      <c r="A36" s="243"/>
      <c r="B36" s="243"/>
      <c r="C36" s="243" t="s">
        <v>185</v>
      </c>
      <c r="D36" s="243"/>
      <c r="E36" s="272"/>
      <c r="F36" s="272"/>
      <c r="G36" s="11">
        <v>12004224.190000001</v>
      </c>
      <c r="H36" s="11"/>
      <c r="I36" s="11">
        <v>-2142422.35</v>
      </c>
      <c r="J36" s="11"/>
      <c r="K36" s="11">
        <v>11819590.99</v>
      </c>
      <c r="L36" s="11"/>
      <c r="M36" s="11">
        <v>-3352873.23</v>
      </c>
      <c r="P36" s="243"/>
      <c r="Q36" s="243"/>
      <c r="R36" s="243"/>
      <c r="S36" s="243"/>
      <c r="T36" s="272"/>
      <c r="U36" s="272"/>
      <c r="V36" s="152"/>
      <c r="W36" s="152"/>
      <c r="Y36" s="152"/>
      <c r="Z36" s="152"/>
      <c r="AA36" s="152"/>
    </row>
    <row r="37" spans="1:28" ht="16.5" customHeight="1" x14ac:dyDescent="0.4">
      <c r="A37" s="243"/>
      <c r="B37" s="243" t="s">
        <v>186</v>
      </c>
      <c r="C37" s="243"/>
      <c r="D37" s="243"/>
      <c r="E37" s="272"/>
      <c r="F37" s="272"/>
      <c r="G37" s="11"/>
      <c r="H37" s="11"/>
      <c r="I37" s="11"/>
      <c r="J37" s="11"/>
      <c r="K37" s="11"/>
      <c r="L37" s="11"/>
      <c r="M37" s="11"/>
      <c r="P37" s="243"/>
      <c r="Q37" s="243"/>
      <c r="R37" s="243"/>
      <c r="S37" s="243"/>
      <c r="T37" s="272"/>
      <c r="U37" s="272"/>
      <c r="V37" s="152"/>
      <c r="W37" s="152"/>
      <c r="X37" s="152"/>
      <c r="Y37" s="152"/>
      <c r="Z37" s="152"/>
      <c r="AA37" s="152"/>
      <c r="AB37" s="152"/>
    </row>
    <row r="38" spans="1:28" ht="16.5" hidden="1" customHeight="1" x14ac:dyDescent="0.4">
      <c r="A38" s="243"/>
      <c r="B38" s="243"/>
      <c r="C38" s="243" t="s">
        <v>234</v>
      </c>
      <c r="D38" s="243"/>
      <c r="E38" s="272"/>
      <c r="F38" s="272"/>
      <c r="G38" s="11"/>
      <c r="H38" s="11"/>
      <c r="I38" s="11"/>
      <c r="J38" s="11"/>
      <c r="K38" s="11"/>
      <c r="L38" s="11"/>
      <c r="M38" s="11"/>
      <c r="P38" s="243"/>
      <c r="Q38" s="243"/>
      <c r="R38" s="243"/>
      <c r="S38" s="243"/>
      <c r="T38" s="272"/>
      <c r="U38" s="272"/>
      <c r="V38" s="152"/>
      <c r="W38" s="152"/>
      <c r="Y38" s="152"/>
      <c r="Z38" s="152"/>
      <c r="AA38" s="152"/>
    </row>
    <row r="39" spans="1:28" ht="16.5" customHeight="1" x14ac:dyDescent="0.4">
      <c r="A39" s="243"/>
      <c r="B39" s="243"/>
      <c r="C39" s="243" t="s">
        <v>322</v>
      </c>
      <c r="D39" s="243"/>
      <c r="E39" s="244"/>
      <c r="F39" s="272"/>
      <c r="G39" s="11">
        <v>0</v>
      </c>
      <c r="H39" s="11"/>
      <c r="I39" s="175">
        <v>0</v>
      </c>
      <c r="J39" s="11"/>
      <c r="K39" s="11">
        <v>0</v>
      </c>
      <c r="L39" s="11"/>
      <c r="M39" s="11">
        <v>-78725230.049999997</v>
      </c>
      <c r="P39" s="243"/>
      <c r="Q39" s="243"/>
      <c r="R39" s="243"/>
      <c r="S39" s="243"/>
      <c r="T39" s="244"/>
      <c r="U39" s="272"/>
      <c r="V39" s="152"/>
      <c r="W39" s="152"/>
      <c r="Y39" s="152"/>
      <c r="Z39" s="152"/>
      <c r="AA39" s="152"/>
    </row>
    <row r="40" spans="1:28" ht="16.5" customHeight="1" x14ac:dyDescent="0.4">
      <c r="A40" s="243"/>
      <c r="B40" s="243"/>
      <c r="C40" s="243" t="s">
        <v>252</v>
      </c>
      <c r="D40" s="243"/>
      <c r="E40" s="272">
        <v>20</v>
      </c>
      <c r="F40" s="272"/>
      <c r="G40" s="11">
        <v>-20507274.899999995</v>
      </c>
      <c r="H40" s="11"/>
      <c r="I40" s="11">
        <v>-30142952.02</v>
      </c>
      <c r="J40" s="11"/>
      <c r="K40" s="11">
        <v>-19281758.559999999</v>
      </c>
      <c r="L40" s="11"/>
      <c r="M40" s="11">
        <v>-29841766.010000002</v>
      </c>
      <c r="P40" s="243"/>
      <c r="Q40" s="243"/>
      <c r="R40" s="243"/>
      <c r="S40" s="243"/>
      <c r="T40" s="272"/>
      <c r="U40" s="272"/>
      <c r="V40" s="152"/>
      <c r="W40" s="152"/>
      <c r="Y40" s="152"/>
      <c r="Z40" s="152"/>
      <c r="AA40" s="152"/>
    </row>
    <row r="41" spans="1:28" ht="16.5" customHeight="1" x14ac:dyDescent="0.4">
      <c r="A41" s="243"/>
      <c r="B41" s="243"/>
      <c r="C41" s="243" t="s">
        <v>307</v>
      </c>
      <c r="D41" s="243"/>
      <c r="E41" s="244">
        <v>2.2999999999999998</v>
      </c>
      <c r="F41" s="272"/>
      <c r="G41" s="11">
        <v>0</v>
      </c>
      <c r="H41" s="11"/>
      <c r="I41" s="11">
        <v>0</v>
      </c>
      <c r="J41" s="11"/>
      <c r="K41" s="11">
        <v>-1203996.25</v>
      </c>
      <c r="L41" s="11"/>
      <c r="M41" s="11">
        <v>25593516.260000002</v>
      </c>
      <c r="P41" s="243"/>
      <c r="Q41" s="243"/>
      <c r="R41" s="243"/>
      <c r="S41" s="243"/>
      <c r="T41" s="272"/>
      <c r="U41" s="272"/>
      <c r="V41" s="152"/>
      <c r="W41" s="152"/>
      <c r="Y41" s="152"/>
      <c r="Z41" s="152"/>
      <c r="AA41" s="152"/>
    </row>
    <row r="42" spans="1:28" ht="16.5" customHeight="1" x14ac:dyDescent="0.4">
      <c r="A42" s="243"/>
      <c r="B42" s="243"/>
      <c r="C42" s="243" t="s">
        <v>148</v>
      </c>
      <c r="D42" s="243"/>
      <c r="E42" s="272"/>
      <c r="F42" s="272"/>
      <c r="G42" s="11">
        <v>1935116.92</v>
      </c>
      <c r="H42" s="11"/>
      <c r="I42" s="11">
        <v>-3063733.01</v>
      </c>
      <c r="J42" s="11"/>
      <c r="K42" s="11">
        <v>1935832.97</v>
      </c>
      <c r="L42" s="11"/>
      <c r="M42" s="11">
        <v>-1818359.26</v>
      </c>
      <c r="P42" s="243"/>
      <c r="Q42" s="243"/>
      <c r="R42" s="243"/>
      <c r="S42" s="243"/>
      <c r="T42" s="272"/>
      <c r="U42" s="272"/>
      <c r="V42" s="152"/>
      <c r="W42" s="152"/>
      <c r="X42" s="243"/>
      <c r="Y42" s="152"/>
      <c r="Z42" s="152"/>
      <c r="AA42" s="152"/>
      <c r="AB42" s="243"/>
    </row>
    <row r="43" spans="1:28" ht="16.5" customHeight="1" x14ac:dyDescent="0.4">
      <c r="A43" s="243"/>
      <c r="B43" s="243"/>
      <c r="C43" s="243" t="s">
        <v>283</v>
      </c>
      <c r="D43" s="243"/>
      <c r="E43" s="272"/>
      <c r="F43" s="272"/>
      <c r="G43" s="11">
        <v>-691252.28</v>
      </c>
      <c r="H43" s="11"/>
      <c r="I43" s="131">
        <v>1041926.28</v>
      </c>
      <c r="J43" s="11"/>
      <c r="K43" s="11">
        <v>-691252.28</v>
      </c>
      <c r="L43" s="11"/>
      <c r="M43" s="131">
        <v>2145931.2800000003</v>
      </c>
      <c r="P43" s="243"/>
      <c r="Q43" s="243"/>
      <c r="R43" s="243"/>
      <c r="S43" s="243"/>
      <c r="T43" s="272"/>
      <c r="U43" s="272"/>
      <c r="V43" s="152"/>
      <c r="W43" s="152"/>
      <c r="X43" s="243"/>
      <c r="Y43" s="152"/>
      <c r="Z43" s="152"/>
      <c r="AA43" s="152"/>
      <c r="AB43" s="243"/>
    </row>
    <row r="44" spans="1:28" ht="16.5" customHeight="1" x14ac:dyDescent="0.4">
      <c r="A44" s="243"/>
      <c r="B44" s="243"/>
      <c r="C44" s="243"/>
      <c r="D44" s="243" t="s">
        <v>336</v>
      </c>
      <c r="E44" s="272"/>
      <c r="F44" s="272"/>
      <c r="G44" s="132">
        <f>SUM(G27:G43)</f>
        <v>-6554747.8200001111</v>
      </c>
      <c r="H44" s="16"/>
      <c r="I44" s="132">
        <f>SUM(I27:I43)</f>
        <v>-282641940.96999997</v>
      </c>
      <c r="J44" s="16"/>
      <c r="K44" s="132">
        <f>SUM(K27:K43)</f>
        <v>-79751245.580000013</v>
      </c>
      <c r="L44" s="16"/>
      <c r="M44" s="132">
        <f>SUM(M27:M43)</f>
        <v>-18087132.74999997</v>
      </c>
      <c r="P44" s="243"/>
      <c r="Q44" s="243"/>
      <c r="R44" s="243"/>
      <c r="S44" s="243"/>
      <c r="T44" s="272"/>
      <c r="U44" s="272"/>
      <c r="V44" s="152"/>
      <c r="W44" s="152"/>
      <c r="X44" s="152"/>
      <c r="Y44" s="152"/>
      <c r="Z44" s="152"/>
      <c r="AA44" s="152"/>
      <c r="AB44" s="152"/>
    </row>
    <row r="45" spans="1:28" ht="16.5" customHeight="1" x14ac:dyDescent="0.4">
      <c r="A45" s="243"/>
      <c r="B45" s="243"/>
      <c r="C45" s="243"/>
      <c r="D45" s="243" t="s">
        <v>235</v>
      </c>
      <c r="E45" s="272"/>
      <c r="F45" s="272"/>
      <c r="G45" s="16">
        <v>-6384101.5700000003</v>
      </c>
      <c r="H45" s="16"/>
      <c r="I45" s="11">
        <v>-4913598.17</v>
      </c>
      <c r="J45" s="16"/>
      <c r="K45" s="16">
        <v>-6488238.5599999996</v>
      </c>
      <c r="L45" s="16"/>
      <c r="M45" s="11">
        <v>-5074827.68</v>
      </c>
      <c r="P45" s="243"/>
      <c r="Q45" s="243"/>
      <c r="R45" s="243"/>
      <c r="S45" s="243"/>
      <c r="T45" s="272"/>
      <c r="U45" s="272"/>
      <c r="V45" s="152"/>
      <c r="W45" s="152"/>
      <c r="X45" s="243"/>
      <c r="Y45" s="152"/>
      <c r="Z45" s="152"/>
      <c r="AA45" s="152"/>
      <c r="AB45" s="243"/>
    </row>
    <row r="46" spans="1:28" ht="16.5" customHeight="1" x14ac:dyDescent="0.4">
      <c r="A46" s="243"/>
      <c r="B46" s="243"/>
      <c r="C46" s="243"/>
      <c r="D46" s="243" t="s">
        <v>202</v>
      </c>
      <c r="E46" s="272"/>
      <c r="F46" s="272"/>
      <c r="G46" s="16">
        <v>-501195.73999999993</v>
      </c>
      <c r="H46" s="16"/>
      <c r="I46" s="11">
        <v>-12478373.619999999</v>
      </c>
      <c r="J46" s="16"/>
      <c r="K46" s="16">
        <v>-501040.55999999994</v>
      </c>
      <c r="L46" s="16"/>
      <c r="M46" s="11">
        <v>-11951251.390000001</v>
      </c>
      <c r="P46" s="243"/>
      <c r="Q46" s="243"/>
      <c r="R46" s="243"/>
      <c r="S46" s="243"/>
      <c r="T46" s="272"/>
      <c r="U46" s="272"/>
      <c r="V46" s="152"/>
      <c r="W46" s="152"/>
      <c r="Y46" s="152"/>
      <c r="Z46" s="152"/>
      <c r="AA46" s="152"/>
    </row>
    <row r="47" spans="1:28" ht="16.5" customHeight="1" x14ac:dyDescent="0.4">
      <c r="A47" s="243"/>
      <c r="B47" s="243"/>
      <c r="C47" s="243"/>
      <c r="D47" s="243" t="s">
        <v>335</v>
      </c>
      <c r="E47" s="272"/>
      <c r="F47" s="272"/>
      <c r="G47" s="16">
        <v>0</v>
      </c>
      <c r="H47" s="16"/>
      <c r="I47" s="11">
        <v>-1129203</v>
      </c>
      <c r="J47" s="16"/>
      <c r="K47" s="16">
        <v>0</v>
      </c>
      <c r="L47" s="16"/>
      <c r="M47" s="11">
        <v>-1129203</v>
      </c>
      <c r="P47" s="243"/>
      <c r="Q47" s="243"/>
      <c r="R47" s="243"/>
      <c r="S47" s="243"/>
      <c r="T47" s="272"/>
      <c r="U47" s="272"/>
      <c r="V47" s="152"/>
      <c r="W47" s="152"/>
      <c r="X47" s="152"/>
      <c r="Y47" s="152"/>
      <c r="Z47" s="152"/>
      <c r="AA47" s="152"/>
      <c r="AB47" s="152"/>
    </row>
    <row r="48" spans="1:28" ht="16.5" customHeight="1" x14ac:dyDescent="0.4">
      <c r="A48" s="243"/>
      <c r="B48" s="243"/>
      <c r="C48" s="243"/>
      <c r="D48" s="243" t="s">
        <v>198</v>
      </c>
      <c r="E48" s="272"/>
      <c r="F48" s="272"/>
      <c r="G48" s="133">
        <f>SUM(G44:G47)</f>
        <v>-13440045.130000113</v>
      </c>
      <c r="H48" s="16"/>
      <c r="I48" s="133">
        <f>SUM(I44:I47)</f>
        <v>-301163115.75999999</v>
      </c>
      <c r="J48" s="16"/>
      <c r="K48" s="133">
        <f>SUM(K44:K47)</f>
        <v>-86740524.700000018</v>
      </c>
      <c r="L48" s="16"/>
      <c r="M48" s="133">
        <f>SUM(M44:M47)</f>
        <v>-36242414.81999997</v>
      </c>
      <c r="P48" s="243"/>
      <c r="Q48" s="243"/>
      <c r="R48" s="243"/>
      <c r="S48" s="243"/>
      <c r="T48" s="272"/>
      <c r="U48" s="272"/>
      <c r="V48" s="152"/>
      <c r="W48" s="152"/>
      <c r="X48" s="152"/>
      <c r="Y48" s="152"/>
      <c r="Z48" s="152"/>
      <c r="AA48" s="152"/>
      <c r="AB48" s="152"/>
    </row>
    <row r="49" spans="1:28" ht="16.5" customHeight="1" x14ac:dyDescent="0.4">
      <c r="A49" s="243"/>
      <c r="B49" s="243"/>
      <c r="C49" s="243"/>
      <c r="D49" s="243"/>
      <c r="E49" s="272"/>
      <c r="F49" s="272"/>
      <c r="G49" s="118"/>
      <c r="H49" s="118"/>
      <c r="I49" s="118"/>
      <c r="J49" s="118"/>
      <c r="K49" s="118"/>
      <c r="L49" s="118"/>
      <c r="M49" s="118"/>
      <c r="P49" s="243"/>
      <c r="Q49" s="243"/>
      <c r="R49" s="243"/>
      <c r="S49" s="243"/>
      <c r="T49" s="272"/>
      <c r="U49" s="272"/>
      <c r="V49" s="152"/>
      <c r="W49" s="152"/>
      <c r="X49" s="152"/>
      <c r="Y49" s="152"/>
      <c r="Z49" s="152"/>
      <c r="AA49" s="152"/>
      <c r="AB49" s="152"/>
    </row>
    <row r="50" spans="1:28" ht="16.5" customHeight="1" x14ac:dyDescent="0.4">
      <c r="A50" s="243" t="s">
        <v>360</v>
      </c>
      <c r="B50" s="243"/>
      <c r="C50" s="243"/>
      <c r="D50" s="243"/>
      <c r="E50" s="272"/>
      <c r="F50" s="272"/>
      <c r="G50" s="118"/>
      <c r="H50" s="118"/>
      <c r="I50" s="118"/>
      <c r="J50" s="118"/>
      <c r="K50" s="118"/>
      <c r="L50" s="118"/>
      <c r="M50" s="118"/>
      <c r="P50" s="7"/>
      <c r="Q50" s="243"/>
      <c r="R50" s="243"/>
      <c r="S50" s="243"/>
      <c r="T50" s="272"/>
      <c r="U50" s="272"/>
      <c r="V50" s="152"/>
      <c r="W50" s="152"/>
      <c r="X50" s="152"/>
      <c r="Y50" s="152"/>
      <c r="Z50" s="152"/>
      <c r="AA50" s="152"/>
      <c r="AB50" s="152"/>
    </row>
    <row r="51" spans="1:28" ht="16.5" customHeight="1" x14ac:dyDescent="0.4">
      <c r="A51" s="243"/>
      <c r="B51" s="243"/>
      <c r="C51" s="243"/>
      <c r="D51" s="243"/>
      <c r="E51" s="272"/>
      <c r="F51" s="272"/>
      <c r="G51" s="118"/>
      <c r="H51" s="118"/>
      <c r="I51" s="118"/>
      <c r="J51" s="118"/>
      <c r="K51" s="118"/>
      <c r="L51" s="118"/>
      <c r="M51" s="118"/>
      <c r="P51" s="7"/>
      <c r="Q51" s="243"/>
      <c r="R51" s="243"/>
      <c r="S51" s="243"/>
      <c r="T51" s="272"/>
      <c r="U51" s="272"/>
      <c r="V51" s="152"/>
      <c r="W51" s="152"/>
      <c r="X51" s="152"/>
      <c r="Y51" s="152"/>
      <c r="Z51" s="152"/>
      <c r="AA51" s="152"/>
      <c r="AB51" s="152"/>
    </row>
    <row r="52" spans="1:28" ht="16.5" customHeight="1" x14ac:dyDescent="0.4">
      <c r="A52" s="243"/>
      <c r="B52" s="243"/>
      <c r="C52" s="243"/>
      <c r="D52" s="243"/>
      <c r="E52" s="272"/>
      <c r="F52" s="272"/>
      <c r="G52" s="118"/>
      <c r="H52" s="118"/>
      <c r="I52" s="118"/>
      <c r="J52" s="118"/>
      <c r="K52" s="118"/>
      <c r="L52" s="118"/>
      <c r="M52" s="118"/>
      <c r="P52" s="7"/>
      <c r="Q52" s="243"/>
      <c r="R52" s="243"/>
      <c r="S52" s="243"/>
      <c r="T52" s="272"/>
      <c r="U52" s="272"/>
      <c r="V52" s="152"/>
      <c r="W52" s="152"/>
      <c r="X52" s="152"/>
      <c r="Y52" s="152"/>
      <c r="Z52" s="152"/>
      <c r="AA52" s="152"/>
      <c r="AB52" s="152"/>
    </row>
    <row r="53" spans="1:28" ht="16.5" customHeight="1" x14ac:dyDescent="0.4">
      <c r="A53" s="243"/>
      <c r="B53" s="243"/>
      <c r="C53" s="243"/>
      <c r="D53" s="243"/>
      <c r="E53" s="272"/>
      <c r="F53" s="272"/>
      <c r="G53" s="118"/>
      <c r="H53" s="118"/>
      <c r="I53" s="118"/>
      <c r="J53" s="118"/>
      <c r="K53" s="118"/>
      <c r="L53" s="118"/>
      <c r="M53" s="118"/>
      <c r="P53" s="7"/>
      <c r="Q53" s="243"/>
      <c r="R53" s="243"/>
      <c r="S53" s="243"/>
      <c r="T53" s="272"/>
      <c r="U53" s="272"/>
      <c r="V53" s="152"/>
      <c r="W53" s="152"/>
      <c r="X53" s="152"/>
      <c r="Y53" s="152"/>
      <c r="Z53" s="152"/>
      <c r="AA53" s="152"/>
      <c r="AB53" s="152"/>
    </row>
    <row r="54" spans="1:28" ht="16.5" customHeight="1" x14ac:dyDescent="0.4">
      <c r="A54" s="243"/>
      <c r="B54" s="243"/>
      <c r="C54" s="243"/>
      <c r="D54" s="243"/>
      <c r="E54" s="272"/>
      <c r="F54" s="272"/>
      <c r="G54" s="118"/>
      <c r="H54" s="118"/>
      <c r="I54" s="118"/>
      <c r="J54" s="118"/>
      <c r="K54" s="118"/>
      <c r="L54" s="118"/>
      <c r="M54" s="118"/>
      <c r="P54" s="7"/>
      <c r="Q54" s="243"/>
      <c r="R54" s="243"/>
      <c r="S54" s="243"/>
      <c r="T54" s="272"/>
      <c r="U54" s="272"/>
      <c r="V54" s="152"/>
      <c r="W54" s="152"/>
      <c r="X54" s="152"/>
      <c r="Y54" s="152"/>
      <c r="Z54" s="152"/>
      <c r="AA54" s="152"/>
      <c r="AB54" s="152"/>
    </row>
    <row r="55" spans="1:28" ht="16.5" customHeight="1" x14ac:dyDescent="0.4">
      <c r="A55" s="243"/>
      <c r="B55" s="243"/>
      <c r="C55" s="243"/>
      <c r="D55" s="243"/>
      <c r="E55" s="272"/>
      <c r="F55" s="272"/>
      <c r="G55" s="118"/>
      <c r="H55" s="118"/>
      <c r="I55" s="118"/>
      <c r="J55" s="118"/>
      <c r="K55" s="118"/>
      <c r="L55" s="118"/>
      <c r="M55" s="118"/>
      <c r="P55" s="7"/>
      <c r="Q55" s="243"/>
      <c r="R55" s="243"/>
      <c r="S55" s="243"/>
      <c r="T55" s="272"/>
      <c r="U55" s="272"/>
      <c r="V55" s="152"/>
      <c r="W55" s="152"/>
      <c r="X55" s="152"/>
      <c r="Y55" s="152"/>
      <c r="Z55" s="152"/>
      <c r="AA55" s="152"/>
      <c r="AB55" s="152"/>
    </row>
    <row r="56" spans="1:28" ht="16.5" customHeight="1" x14ac:dyDescent="0.4">
      <c r="A56" s="243"/>
      <c r="B56" s="243"/>
      <c r="C56" s="243"/>
      <c r="D56" s="243"/>
      <c r="E56" s="272"/>
      <c r="F56" s="272"/>
      <c r="G56" s="118"/>
      <c r="H56" s="118"/>
      <c r="I56" s="118"/>
      <c r="J56" s="118"/>
      <c r="K56" s="118"/>
      <c r="L56" s="118"/>
      <c r="M56" s="118"/>
      <c r="P56" s="7"/>
      <c r="Q56" s="243"/>
      <c r="R56" s="243"/>
      <c r="S56" s="243"/>
      <c r="T56" s="272"/>
      <c r="U56" s="272"/>
      <c r="V56" s="152"/>
      <c r="W56" s="152"/>
      <c r="X56" s="152"/>
      <c r="Y56" s="152"/>
      <c r="Z56" s="152"/>
      <c r="AA56" s="152"/>
      <c r="AB56" s="152"/>
    </row>
    <row r="57" spans="1:28" ht="16.5" customHeight="1" x14ac:dyDescent="0.4">
      <c r="A57" s="243"/>
      <c r="B57" s="243"/>
      <c r="C57" s="243"/>
      <c r="D57" s="243"/>
      <c r="E57" s="272"/>
      <c r="F57" s="272"/>
      <c r="G57" s="118"/>
      <c r="H57" s="118"/>
      <c r="I57" s="118"/>
      <c r="J57" s="118"/>
      <c r="K57" s="118"/>
      <c r="L57" s="118"/>
      <c r="M57" s="118"/>
      <c r="P57" s="7"/>
      <c r="Q57" s="243"/>
      <c r="R57" s="243"/>
      <c r="S57" s="243"/>
      <c r="T57" s="272"/>
      <c r="U57" s="272"/>
      <c r="V57" s="152"/>
      <c r="W57" s="152"/>
      <c r="X57" s="152"/>
      <c r="Y57" s="152"/>
      <c r="Z57" s="152"/>
      <c r="AA57" s="152"/>
      <c r="AB57" s="152"/>
    </row>
    <row r="58" spans="1:28" ht="16.5" customHeight="1" x14ac:dyDescent="0.45">
      <c r="A58" s="278"/>
      <c r="G58" s="277"/>
      <c r="H58" s="277"/>
      <c r="I58" s="277"/>
      <c r="J58" s="277"/>
      <c r="L58" s="277"/>
      <c r="M58" s="277"/>
      <c r="P58" s="233"/>
      <c r="Q58" s="261"/>
      <c r="R58" s="233"/>
      <c r="S58" s="261"/>
      <c r="U58" s="261"/>
      <c r="V58" s="233"/>
      <c r="W58" s="233"/>
      <c r="X58" s="233"/>
      <c r="Y58" s="233"/>
      <c r="Z58" s="233"/>
      <c r="AA58" s="233"/>
      <c r="AB58" s="233"/>
    </row>
    <row r="59" spans="1:28" ht="16.5" customHeight="1" x14ac:dyDescent="0.4">
      <c r="A59" s="233"/>
      <c r="B59" s="261" t="s">
        <v>145</v>
      </c>
      <c r="C59" s="233"/>
      <c r="D59" s="261"/>
      <c r="G59" s="279"/>
      <c r="H59" s="261" t="s">
        <v>145</v>
      </c>
      <c r="I59" s="279"/>
      <c r="J59" s="279"/>
      <c r="K59" s="279"/>
      <c r="L59" s="279"/>
      <c r="M59" s="279"/>
      <c r="P59" s="233"/>
      <c r="Q59" s="261"/>
      <c r="R59" s="233"/>
      <c r="S59" s="261"/>
      <c r="U59" s="261"/>
      <c r="V59" s="233"/>
      <c r="W59" s="233"/>
      <c r="X59" s="233"/>
      <c r="Y59" s="233"/>
      <c r="Z59" s="233"/>
      <c r="AA59" s="233"/>
      <c r="AB59" s="233"/>
    </row>
    <row r="60" spans="1:28" ht="8.25" customHeight="1" x14ac:dyDescent="0.4">
      <c r="A60" s="310"/>
      <c r="B60" s="310"/>
      <c r="C60" s="310"/>
      <c r="D60" s="310"/>
      <c r="E60" s="310"/>
      <c r="F60" s="310"/>
      <c r="G60" s="310"/>
      <c r="H60" s="310"/>
      <c r="I60" s="310"/>
      <c r="J60" s="310"/>
      <c r="K60" s="310"/>
      <c r="L60" s="310"/>
      <c r="M60" s="310"/>
      <c r="P60" s="233"/>
      <c r="Q60" s="261"/>
      <c r="R60" s="233"/>
      <c r="S60" s="261"/>
      <c r="U60" s="261"/>
      <c r="V60" s="233"/>
      <c r="W60" s="233"/>
      <c r="X60" s="233"/>
      <c r="Y60" s="233"/>
      <c r="Z60" s="306"/>
      <c r="AA60" s="306"/>
      <c r="AB60" s="306"/>
    </row>
    <row r="61" spans="1:28" ht="16.5" customHeight="1" x14ac:dyDescent="0.4">
      <c r="A61" s="247" t="s">
        <v>183</v>
      </c>
      <c r="B61" s="243"/>
      <c r="C61" s="243"/>
      <c r="D61" s="243"/>
      <c r="E61" s="272"/>
      <c r="F61" s="272"/>
      <c r="G61" s="11"/>
      <c r="H61" s="16"/>
      <c r="I61" s="11"/>
      <c r="J61" s="16"/>
      <c r="K61" s="11"/>
      <c r="L61" s="16"/>
      <c r="M61" s="11"/>
      <c r="P61" s="307"/>
      <c r="Q61" s="307"/>
      <c r="R61" s="307"/>
      <c r="S61" s="307"/>
      <c r="T61" s="307"/>
      <c r="U61" s="307"/>
      <c r="V61" s="307"/>
      <c r="W61" s="307"/>
      <c r="X61" s="307"/>
      <c r="Y61" s="307"/>
      <c r="Z61" s="307"/>
      <c r="AA61" s="307"/>
      <c r="AB61" s="307"/>
    </row>
    <row r="62" spans="1:28" ht="16.5" hidden="1" customHeight="1" x14ac:dyDescent="0.4">
      <c r="A62" s="264"/>
      <c r="C62" s="243" t="s">
        <v>337</v>
      </c>
      <c r="D62" s="243"/>
      <c r="E62" s="272">
        <v>9</v>
      </c>
      <c r="F62" s="272"/>
      <c r="G62" s="11"/>
      <c r="H62" s="11"/>
      <c r="I62" s="11">
        <v>0</v>
      </c>
      <c r="J62" s="11"/>
      <c r="K62" s="11"/>
      <c r="L62" s="11"/>
      <c r="M62" s="11">
        <v>0</v>
      </c>
      <c r="P62" s="306"/>
      <c r="Q62" s="306"/>
      <c r="R62" s="306"/>
      <c r="S62" s="306"/>
      <c r="T62" s="306"/>
      <c r="U62" s="306"/>
      <c r="V62" s="306"/>
      <c r="W62" s="306"/>
      <c r="X62" s="306"/>
      <c r="Y62" s="306"/>
      <c r="Z62" s="306"/>
      <c r="AA62" s="306"/>
      <c r="AB62" s="306"/>
    </row>
    <row r="63" spans="1:28" ht="16.5" hidden="1" customHeight="1" x14ac:dyDescent="0.4">
      <c r="A63" s="264"/>
      <c r="C63" s="243" t="s">
        <v>339</v>
      </c>
      <c r="D63" s="243"/>
      <c r="E63" s="272">
        <v>10</v>
      </c>
      <c r="F63" s="272"/>
      <c r="G63" s="11"/>
      <c r="H63" s="11"/>
      <c r="I63" s="11">
        <v>0</v>
      </c>
      <c r="J63" s="11"/>
      <c r="K63" s="11"/>
      <c r="L63" s="11"/>
      <c r="M63" s="11">
        <v>0</v>
      </c>
      <c r="P63" s="306"/>
      <c r="Q63" s="306"/>
      <c r="R63" s="306"/>
      <c r="S63" s="306"/>
      <c r="T63" s="306"/>
      <c r="U63" s="306"/>
      <c r="V63" s="306"/>
      <c r="W63" s="306"/>
      <c r="X63" s="306"/>
      <c r="Y63" s="306"/>
      <c r="Z63" s="306"/>
      <c r="AA63" s="306"/>
      <c r="AB63" s="306"/>
    </row>
    <row r="64" spans="1:28" ht="16.5" customHeight="1" x14ac:dyDescent="0.4">
      <c r="A64" s="264"/>
      <c r="C64" s="243" t="s">
        <v>323</v>
      </c>
      <c r="D64" s="243"/>
      <c r="E64" s="272">
        <v>11</v>
      </c>
      <c r="F64" s="272"/>
      <c r="G64" s="11">
        <v>24.55</v>
      </c>
      <c r="H64" s="11"/>
      <c r="I64" s="11">
        <v>-44.81</v>
      </c>
      <c r="J64" s="11"/>
      <c r="K64" s="11">
        <v>0</v>
      </c>
      <c r="L64" s="11"/>
      <c r="M64" s="153">
        <v>0</v>
      </c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</row>
    <row r="65" spans="1:28" s="243" customFormat="1" ht="16.5" customHeight="1" x14ac:dyDescent="0.4">
      <c r="C65" s="247" t="s">
        <v>304</v>
      </c>
      <c r="E65" s="233">
        <v>14</v>
      </c>
      <c r="F65" s="272"/>
      <c r="G65" s="11">
        <v>-117980.6</v>
      </c>
      <c r="H65" s="11"/>
      <c r="I65" s="11">
        <v>-303660</v>
      </c>
      <c r="J65" s="11"/>
      <c r="K65" s="11">
        <v>-117980.6</v>
      </c>
      <c r="L65" s="11"/>
      <c r="M65" s="11">
        <v>-303660</v>
      </c>
      <c r="P65" s="232"/>
      <c r="Q65" s="232"/>
      <c r="R65" s="232"/>
      <c r="S65" s="232"/>
      <c r="T65" s="232"/>
      <c r="U65" s="232"/>
      <c r="V65" s="306"/>
      <c r="W65" s="306"/>
      <c r="X65" s="306"/>
      <c r="Y65" s="306"/>
      <c r="Z65" s="306"/>
      <c r="AA65" s="306"/>
      <c r="AB65" s="306"/>
    </row>
    <row r="66" spans="1:28" s="243" customFormat="1" ht="16.5" customHeight="1" x14ac:dyDescent="0.4">
      <c r="C66" s="7" t="s">
        <v>257</v>
      </c>
      <c r="E66" s="237" t="s">
        <v>366</v>
      </c>
      <c r="F66" s="272"/>
      <c r="G66" s="11">
        <v>-343500000</v>
      </c>
      <c r="H66" s="11"/>
      <c r="I66" s="11">
        <v>148850000</v>
      </c>
      <c r="J66" s="11"/>
      <c r="K66" s="11">
        <v>-343500000</v>
      </c>
      <c r="L66" s="11"/>
      <c r="M66" s="11">
        <v>148850000</v>
      </c>
      <c r="P66" s="247"/>
      <c r="Q66" s="247"/>
      <c r="R66" s="247"/>
      <c r="S66" s="247"/>
      <c r="T66" s="233"/>
      <c r="U66" s="233"/>
      <c r="V66" s="306"/>
      <c r="W66" s="306"/>
      <c r="X66" s="306"/>
      <c r="Y66" s="232"/>
      <c r="Z66" s="306"/>
      <c r="AA66" s="306"/>
      <c r="AB66" s="306"/>
    </row>
    <row r="67" spans="1:28" s="243" customFormat="1" ht="16.5" customHeight="1" x14ac:dyDescent="0.4">
      <c r="C67" s="7" t="s">
        <v>258</v>
      </c>
      <c r="E67" s="233">
        <v>2.2000000000000002</v>
      </c>
      <c r="F67" s="272"/>
      <c r="G67" s="11">
        <v>0</v>
      </c>
      <c r="H67" s="11"/>
      <c r="I67" s="175">
        <v>0</v>
      </c>
      <c r="J67" s="11"/>
      <c r="K67" s="11">
        <v>90034685.079999998</v>
      </c>
      <c r="L67" s="11"/>
      <c r="M67" s="11">
        <v>-213117352.78999999</v>
      </c>
      <c r="P67" s="247"/>
      <c r="Q67" s="247"/>
      <c r="R67" s="247"/>
      <c r="S67" s="247"/>
      <c r="T67" s="233"/>
      <c r="U67" s="233"/>
      <c r="V67" s="304"/>
      <c r="W67" s="304"/>
      <c r="X67" s="304"/>
      <c r="Y67" s="7"/>
      <c r="Z67" s="304"/>
      <c r="AA67" s="304"/>
      <c r="AB67" s="304"/>
    </row>
    <row r="68" spans="1:28" s="243" customFormat="1" ht="16.5" customHeight="1" x14ac:dyDescent="0.4">
      <c r="C68" s="7" t="s">
        <v>331</v>
      </c>
      <c r="E68" s="237"/>
      <c r="F68" s="272"/>
      <c r="G68" s="11">
        <v>5000000</v>
      </c>
      <c r="H68" s="11"/>
      <c r="I68" s="11">
        <v>4000000</v>
      </c>
      <c r="J68" s="11"/>
      <c r="K68" s="11">
        <v>5000000</v>
      </c>
      <c r="L68" s="11"/>
      <c r="M68" s="11">
        <v>4000000</v>
      </c>
      <c r="P68" s="247"/>
      <c r="Q68" s="247"/>
      <c r="R68" s="247"/>
      <c r="S68" s="247"/>
      <c r="T68" s="233"/>
      <c r="U68" s="233"/>
      <c r="V68" s="161"/>
      <c r="W68" s="233"/>
      <c r="X68" s="161"/>
      <c r="Y68" s="161"/>
      <c r="Z68" s="161"/>
      <c r="AA68" s="233"/>
      <c r="AB68" s="161"/>
    </row>
    <row r="69" spans="1:28" ht="16.5" customHeight="1" x14ac:dyDescent="0.4">
      <c r="A69" s="243"/>
      <c r="B69" s="243"/>
      <c r="C69" s="243"/>
      <c r="D69" s="247" t="s">
        <v>273</v>
      </c>
      <c r="E69" s="272"/>
      <c r="F69" s="272"/>
      <c r="G69" s="133">
        <f>SUM(G62:G68)</f>
        <v>-338617956.05000001</v>
      </c>
      <c r="H69" s="16"/>
      <c r="I69" s="133">
        <f>SUM(I62:I68)</f>
        <v>152546295.19</v>
      </c>
      <c r="J69" s="16"/>
      <c r="K69" s="133">
        <f>SUM(K62:K68)</f>
        <v>-248583295.52000004</v>
      </c>
      <c r="L69" s="16"/>
      <c r="M69" s="133">
        <f>SUM(M62:M68)</f>
        <v>-60571012.789999992</v>
      </c>
      <c r="P69" s="243"/>
      <c r="Q69" s="243"/>
      <c r="R69" s="243"/>
      <c r="S69" s="243"/>
      <c r="T69" s="272"/>
      <c r="U69" s="272"/>
      <c r="V69" s="152"/>
      <c r="W69" s="152"/>
      <c r="X69" s="152"/>
      <c r="Y69" s="152"/>
      <c r="Z69" s="152"/>
      <c r="AA69" s="152"/>
      <c r="AB69" s="152"/>
    </row>
    <row r="70" spans="1:28" ht="16.5" customHeight="1" x14ac:dyDescent="0.4">
      <c r="A70" s="247" t="s">
        <v>193</v>
      </c>
      <c r="B70" s="243"/>
      <c r="C70" s="243"/>
      <c r="D70" s="243"/>
      <c r="E70" s="273"/>
      <c r="F70" s="272"/>
      <c r="G70" s="240"/>
      <c r="H70" s="240"/>
      <c r="I70" s="240"/>
      <c r="J70" s="240"/>
      <c r="K70" s="240"/>
      <c r="L70" s="240"/>
      <c r="M70" s="240"/>
      <c r="P70" s="243"/>
      <c r="Q70" s="243"/>
      <c r="R70" s="243"/>
      <c r="S70" s="243"/>
      <c r="U70" s="272"/>
      <c r="V70" s="152"/>
      <c r="W70" s="152"/>
      <c r="X70" s="152"/>
      <c r="Y70" s="152"/>
      <c r="Z70" s="152"/>
      <c r="AA70" s="152"/>
      <c r="AB70" s="152"/>
    </row>
    <row r="71" spans="1:28" ht="16.5" hidden="1" customHeight="1" x14ac:dyDescent="0.4">
      <c r="A71" s="280"/>
      <c r="B71" s="243"/>
      <c r="C71" s="7" t="s">
        <v>338</v>
      </c>
      <c r="D71" s="243"/>
      <c r="E71" s="234">
        <v>24</v>
      </c>
      <c r="F71" s="272"/>
      <c r="G71" s="240"/>
      <c r="H71" s="240"/>
      <c r="J71" s="240"/>
      <c r="K71" s="240"/>
      <c r="L71" s="240"/>
      <c r="P71" s="243"/>
      <c r="Q71" s="243"/>
      <c r="R71" s="243"/>
      <c r="S71" s="243"/>
      <c r="U71" s="272"/>
      <c r="V71" s="152"/>
      <c r="W71" s="152"/>
      <c r="X71" s="152"/>
      <c r="Y71" s="152"/>
      <c r="Z71" s="152"/>
      <c r="AA71" s="152"/>
      <c r="AB71" s="152"/>
    </row>
    <row r="72" spans="1:28" ht="16.5" customHeight="1" x14ac:dyDescent="0.4">
      <c r="A72" s="280"/>
      <c r="B72" s="243"/>
      <c r="C72" s="243" t="s">
        <v>324</v>
      </c>
      <c r="D72" s="243"/>
      <c r="E72" s="234">
        <v>19</v>
      </c>
      <c r="F72" s="272"/>
      <c r="G72" s="240">
        <v>405000000</v>
      </c>
      <c r="H72" s="240"/>
      <c r="I72" s="16">
        <v>-19000000</v>
      </c>
      <c r="J72" s="240"/>
      <c r="K72" s="240">
        <v>405000000</v>
      </c>
      <c r="L72" s="240"/>
      <c r="M72" s="16">
        <v>-19000000</v>
      </c>
      <c r="P72" s="243"/>
      <c r="Q72" s="243"/>
      <c r="R72" s="243"/>
      <c r="S72" s="243"/>
      <c r="U72" s="272"/>
      <c r="V72" s="152"/>
      <c r="W72" s="152"/>
      <c r="Y72" s="152"/>
      <c r="Z72" s="152"/>
      <c r="AA72" s="152"/>
      <c r="AB72" s="152"/>
    </row>
    <row r="73" spans="1:28" ht="16.5" customHeight="1" x14ac:dyDescent="0.4">
      <c r="A73" s="280"/>
      <c r="B73" s="243"/>
      <c r="C73" s="243" t="s">
        <v>325</v>
      </c>
      <c r="D73" s="243"/>
      <c r="E73" s="234">
        <v>2.4</v>
      </c>
      <c r="F73" s="272"/>
      <c r="G73" s="240">
        <v>0</v>
      </c>
      <c r="H73" s="240"/>
      <c r="I73" s="11">
        <v>0</v>
      </c>
      <c r="J73" s="240"/>
      <c r="K73" s="240">
        <v>0</v>
      </c>
      <c r="L73" s="240"/>
      <c r="M73" s="11">
        <v>-9000000</v>
      </c>
      <c r="P73" s="243"/>
      <c r="Q73" s="243"/>
      <c r="R73" s="243"/>
      <c r="S73" s="243"/>
      <c r="T73" s="272"/>
      <c r="U73" s="272"/>
      <c r="V73" s="152"/>
      <c r="W73" s="152"/>
      <c r="Y73" s="152"/>
      <c r="Z73" s="152"/>
      <c r="AA73" s="152"/>
    </row>
    <row r="74" spans="1:28" ht="16.5" customHeight="1" x14ac:dyDescent="0.4">
      <c r="A74" s="280"/>
      <c r="B74" s="243"/>
      <c r="C74" s="7" t="s">
        <v>326</v>
      </c>
      <c r="D74" s="243"/>
      <c r="E74" s="272">
        <v>21</v>
      </c>
      <c r="F74" s="272"/>
      <c r="G74" s="240">
        <v>-409692</v>
      </c>
      <c r="H74" s="240"/>
      <c r="I74" s="16">
        <v>-409692</v>
      </c>
      <c r="J74" s="240"/>
      <c r="K74" s="240">
        <v>-409692</v>
      </c>
      <c r="L74" s="240"/>
      <c r="M74" s="16">
        <v>-409692</v>
      </c>
      <c r="P74" s="243"/>
      <c r="Q74" s="243"/>
      <c r="R74" s="243"/>
      <c r="S74" s="243"/>
      <c r="T74" s="272"/>
      <c r="U74" s="272"/>
      <c r="V74" s="152"/>
      <c r="W74" s="152"/>
      <c r="X74" s="152"/>
      <c r="Y74" s="152"/>
      <c r="Z74" s="152"/>
      <c r="AA74" s="152"/>
      <c r="AB74" s="152"/>
    </row>
    <row r="75" spans="1:28" ht="16.5" customHeight="1" x14ac:dyDescent="0.4">
      <c r="A75" s="280"/>
      <c r="B75" s="243"/>
      <c r="C75" s="7" t="s">
        <v>332</v>
      </c>
      <c r="D75" s="243"/>
      <c r="E75" s="272">
        <v>26</v>
      </c>
      <c r="F75" s="272"/>
      <c r="G75" s="281">
        <v>-135003086.78999999</v>
      </c>
      <c r="H75" s="240"/>
      <c r="I75" s="131">
        <v>-139725340.78</v>
      </c>
      <c r="J75" s="240"/>
      <c r="K75" s="281">
        <v>-135003086.78999999</v>
      </c>
      <c r="L75" s="240"/>
      <c r="M75" s="131">
        <v>-139725340.78</v>
      </c>
      <c r="P75" s="243"/>
      <c r="Q75" s="243"/>
      <c r="R75" s="243"/>
      <c r="S75" s="243"/>
      <c r="T75" s="272"/>
      <c r="U75" s="272"/>
      <c r="V75" s="152"/>
      <c r="W75" s="152"/>
      <c r="X75" s="152"/>
      <c r="Y75" s="152"/>
      <c r="Z75" s="152"/>
      <c r="AA75" s="152"/>
      <c r="AB75" s="152"/>
    </row>
    <row r="76" spans="1:28" ht="16.5" customHeight="1" x14ac:dyDescent="0.4">
      <c r="A76" s="243"/>
      <c r="B76" s="243"/>
      <c r="C76" s="243"/>
      <c r="D76" s="247" t="s">
        <v>197</v>
      </c>
      <c r="E76" s="272"/>
      <c r="F76" s="272"/>
      <c r="G76" s="131">
        <f>SUM(G71:G75)</f>
        <v>269587221.21000004</v>
      </c>
      <c r="H76" s="16"/>
      <c r="I76" s="131">
        <f>SUM(I71:I75)</f>
        <v>-159135032.78</v>
      </c>
      <c r="J76" s="16"/>
      <c r="K76" s="131">
        <f>SUM(K71:K75)</f>
        <v>269587221.21000004</v>
      </c>
      <c r="L76" s="16"/>
      <c r="M76" s="131">
        <f>SUM(M71:M75)</f>
        <v>-168135032.78</v>
      </c>
      <c r="P76" s="243"/>
      <c r="Q76" s="243"/>
      <c r="S76" s="243"/>
      <c r="T76" s="272"/>
      <c r="U76" s="272"/>
      <c r="V76" s="152"/>
      <c r="W76" s="152"/>
      <c r="X76" s="243"/>
      <c r="Y76" s="152"/>
      <c r="Z76" s="152"/>
      <c r="AA76" s="152"/>
      <c r="AB76" s="243"/>
    </row>
    <row r="77" spans="1:28" ht="16.5" customHeight="1" x14ac:dyDescent="0.4">
      <c r="A77" s="243" t="s">
        <v>171</v>
      </c>
      <c r="B77" s="243"/>
      <c r="C77" s="243"/>
      <c r="D77" s="243"/>
      <c r="E77" s="272"/>
      <c r="F77" s="272"/>
      <c r="G77" s="131">
        <v>-26188572.399999999</v>
      </c>
      <c r="H77" s="16"/>
      <c r="I77" s="133">
        <v>23110743.059999999</v>
      </c>
      <c r="J77" s="16"/>
      <c r="K77" s="131">
        <v>0</v>
      </c>
      <c r="L77" s="16"/>
      <c r="M77" s="131">
        <v>0</v>
      </c>
      <c r="P77" s="243"/>
      <c r="Q77" s="243"/>
      <c r="S77" s="243"/>
      <c r="T77" s="244"/>
      <c r="U77" s="272"/>
      <c r="V77" s="152"/>
      <c r="W77" s="152"/>
      <c r="X77" s="152"/>
      <c r="Y77" s="152"/>
      <c r="Z77" s="152"/>
      <c r="AA77" s="152"/>
    </row>
    <row r="78" spans="1:28" ht="16.5" customHeight="1" x14ac:dyDescent="0.4">
      <c r="A78" s="247" t="s">
        <v>184</v>
      </c>
      <c r="B78" s="243"/>
      <c r="C78" s="243"/>
      <c r="D78" s="243"/>
      <c r="E78" s="272"/>
      <c r="F78" s="272"/>
      <c r="G78" s="134">
        <f>+G76+G69+G48+G77</f>
        <v>-108659352.37000009</v>
      </c>
      <c r="H78" s="11"/>
      <c r="I78" s="134">
        <f>+I76+I69+I48+I77</f>
        <v>-284641110.29000002</v>
      </c>
      <c r="J78" s="11"/>
      <c r="K78" s="134">
        <f>+K76+K69+K48+K77</f>
        <v>-65736599.01000002</v>
      </c>
      <c r="L78" s="11"/>
      <c r="M78" s="134">
        <f>+M76+M69+M48+M77</f>
        <v>-264948460.38999996</v>
      </c>
      <c r="P78" s="243"/>
      <c r="Q78" s="243"/>
      <c r="R78" s="243"/>
      <c r="S78" s="243"/>
      <c r="U78" s="272"/>
      <c r="V78" s="152"/>
      <c r="W78" s="152"/>
      <c r="X78" s="152"/>
      <c r="Y78" s="152"/>
      <c r="Z78" s="152"/>
      <c r="AA78" s="152"/>
      <c r="AB78" s="152"/>
    </row>
    <row r="79" spans="1:28" ht="16.5" customHeight="1" x14ac:dyDescent="0.4">
      <c r="A79" s="247" t="s">
        <v>313</v>
      </c>
      <c r="B79" s="243"/>
      <c r="C79" s="243"/>
      <c r="D79" s="243"/>
      <c r="E79" s="272"/>
      <c r="F79" s="272"/>
      <c r="G79" s="134">
        <f>'BS_Q2-68'!H13</f>
        <v>226065834.77000001</v>
      </c>
      <c r="H79" s="11"/>
      <c r="I79" s="134">
        <v>414056925.31999999</v>
      </c>
      <c r="J79" s="11"/>
      <c r="K79" s="11">
        <f>'BS_Q2-68'!L13</f>
        <v>117400641.78</v>
      </c>
      <c r="L79" s="11"/>
      <c r="M79" s="11">
        <v>290505114.75999999</v>
      </c>
      <c r="O79" s="9"/>
      <c r="P79" s="243"/>
      <c r="Q79" s="243"/>
      <c r="R79" s="243"/>
      <c r="S79" s="243"/>
      <c r="T79" s="272"/>
      <c r="U79" s="272"/>
      <c r="V79" s="152"/>
      <c r="W79" s="152"/>
      <c r="X79" s="152"/>
      <c r="Y79" s="152"/>
      <c r="Z79" s="152"/>
      <c r="AA79" s="152"/>
      <c r="AB79" s="152"/>
    </row>
    <row r="80" spans="1:28" ht="16.5" customHeight="1" thickBot="1" x14ac:dyDescent="0.45">
      <c r="A80" s="247" t="s">
        <v>314</v>
      </c>
      <c r="B80" s="243"/>
      <c r="C80" s="243"/>
      <c r="D80" s="243"/>
      <c r="E80" s="272"/>
      <c r="F80" s="272"/>
      <c r="G80" s="135">
        <f>SUM(G78:G79)</f>
        <v>117406482.39999992</v>
      </c>
      <c r="H80" s="11"/>
      <c r="I80" s="135">
        <f>SUM(I78:I79)</f>
        <v>129415815.02999997</v>
      </c>
      <c r="J80" s="11"/>
      <c r="K80" s="135">
        <f>SUM(K78:K79)</f>
        <v>51664042.769999981</v>
      </c>
      <c r="L80" s="11"/>
      <c r="M80" s="135">
        <f>SUM(M78:M79)</f>
        <v>25556654.370000035</v>
      </c>
      <c r="P80" s="243"/>
      <c r="Q80" s="243"/>
      <c r="R80" s="243"/>
      <c r="S80" s="243"/>
      <c r="T80" s="272"/>
      <c r="U80" s="272"/>
      <c r="V80" s="152"/>
      <c r="W80" s="152"/>
      <c r="X80" s="152"/>
      <c r="Y80" s="152"/>
      <c r="Z80" s="152"/>
      <c r="AA80" s="152"/>
      <c r="AB80" s="152"/>
    </row>
    <row r="81" spans="1:28" ht="16.5" customHeight="1" thickTop="1" x14ac:dyDescent="0.4">
      <c r="E81" s="232"/>
      <c r="F81" s="232"/>
      <c r="G81" s="240"/>
      <c r="H81" s="240"/>
      <c r="I81" s="240"/>
      <c r="J81" s="240"/>
      <c r="K81" s="240"/>
      <c r="L81" s="240"/>
      <c r="M81" s="240"/>
      <c r="P81" s="243"/>
      <c r="Q81" s="7"/>
      <c r="R81" s="243"/>
      <c r="S81" s="243"/>
      <c r="T81" s="272"/>
      <c r="U81" s="272"/>
      <c r="V81" s="152"/>
      <c r="W81" s="152"/>
      <c r="Y81" s="152"/>
      <c r="Z81" s="152"/>
      <c r="AA81" s="152"/>
    </row>
    <row r="82" spans="1:28" ht="16.5" customHeight="1" x14ac:dyDescent="0.4">
      <c r="A82" s="247" t="s">
        <v>297</v>
      </c>
      <c r="E82" s="237"/>
      <c r="F82" s="232"/>
      <c r="G82" s="117"/>
      <c r="H82" s="117"/>
      <c r="I82" s="117"/>
      <c r="J82" s="117"/>
      <c r="K82" s="117"/>
      <c r="L82" s="117"/>
      <c r="M82" s="117"/>
      <c r="P82" s="243"/>
      <c r="Q82" s="243"/>
      <c r="R82" s="243"/>
      <c r="S82" s="243"/>
      <c r="T82" s="272"/>
      <c r="U82" s="272"/>
      <c r="V82" s="152"/>
      <c r="W82" s="152"/>
      <c r="X82" s="152"/>
      <c r="Y82" s="152"/>
      <c r="Z82" s="152"/>
      <c r="AA82" s="152"/>
      <c r="AB82" s="152"/>
    </row>
    <row r="83" spans="1:28" ht="16.5" customHeight="1" x14ac:dyDescent="0.4">
      <c r="B83" s="282" t="s">
        <v>340</v>
      </c>
      <c r="E83" s="237" t="s">
        <v>333</v>
      </c>
      <c r="F83" s="232"/>
      <c r="G83" s="11">
        <v>13342227.68</v>
      </c>
      <c r="H83" s="11"/>
      <c r="I83" s="11">
        <v>255454603.5</v>
      </c>
      <c r="J83" s="176"/>
      <c r="K83" s="170">
        <v>17595.189999999999</v>
      </c>
      <c r="L83" s="176"/>
      <c r="M83" s="11">
        <v>33787.26</v>
      </c>
      <c r="P83" s="243"/>
      <c r="Q83" s="243"/>
      <c r="R83" s="243"/>
      <c r="S83" s="243"/>
      <c r="T83" s="244"/>
      <c r="U83" s="272"/>
      <c r="V83" s="152"/>
      <c r="W83" s="152"/>
      <c r="X83" s="152"/>
      <c r="Y83" s="152"/>
      <c r="Z83" s="152"/>
      <c r="AA83" s="152"/>
      <c r="AB83" s="243"/>
    </row>
    <row r="84" spans="1:28" ht="16.5" customHeight="1" x14ac:dyDescent="0.4">
      <c r="B84" s="247" t="s">
        <v>341</v>
      </c>
      <c r="E84" s="237" t="s">
        <v>356</v>
      </c>
      <c r="F84" s="232"/>
      <c r="G84" s="11">
        <v>0</v>
      </c>
      <c r="H84" s="117"/>
      <c r="I84" s="11">
        <v>80509722.400000006</v>
      </c>
      <c r="J84" s="170"/>
      <c r="K84" s="170">
        <v>0</v>
      </c>
      <c r="L84" s="170"/>
      <c r="M84" s="11">
        <v>0</v>
      </c>
      <c r="P84" s="243"/>
      <c r="Q84" s="7"/>
      <c r="R84" s="243"/>
      <c r="S84" s="243"/>
      <c r="T84" s="272"/>
      <c r="U84" s="272"/>
      <c r="V84" s="152"/>
      <c r="W84" s="152"/>
      <c r="X84" s="243"/>
      <c r="Y84" s="152"/>
      <c r="Z84" s="152"/>
      <c r="AA84" s="152"/>
      <c r="AB84" s="243"/>
    </row>
    <row r="85" spans="1:28" ht="16.5" customHeight="1" x14ac:dyDescent="0.4">
      <c r="B85" s="243"/>
      <c r="E85" s="237"/>
      <c r="F85" s="232"/>
      <c r="G85" s="117"/>
      <c r="H85" s="117"/>
      <c r="I85" s="117"/>
      <c r="J85" s="117"/>
      <c r="K85" s="117"/>
      <c r="L85" s="117"/>
      <c r="M85" s="117"/>
      <c r="P85" s="243"/>
      <c r="Q85" s="7"/>
      <c r="R85" s="243"/>
      <c r="S85" s="243"/>
      <c r="T85" s="272"/>
      <c r="U85" s="272"/>
      <c r="V85" s="152"/>
      <c r="W85" s="152"/>
      <c r="X85" s="152"/>
      <c r="Y85" s="152"/>
      <c r="Z85" s="152"/>
      <c r="AA85" s="152"/>
      <c r="AB85" s="152"/>
    </row>
    <row r="86" spans="1:28" ht="16.5" customHeight="1" x14ac:dyDescent="0.4">
      <c r="A86" s="243" t="s">
        <v>360</v>
      </c>
      <c r="B86" s="7"/>
      <c r="E86" s="237"/>
      <c r="F86" s="232"/>
      <c r="G86" s="117"/>
      <c r="H86" s="117"/>
      <c r="I86" s="117"/>
      <c r="J86" s="117"/>
      <c r="K86" s="117"/>
      <c r="L86" s="117"/>
      <c r="M86" s="117"/>
      <c r="P86" s="243"/>
      <c r="Q86" s="7"/>
      <c r="R86" s="243"/>
      <c r="S86" s="243"/>
      <c r="T86" s="272"/>
      <c r="U86" s="272"/>
      <c r="V86" s="152"/>
      <c r="W86" s="152"/>
      <c r="X86" s="152"/>
      <c r="Y86" s="152"/>
      <c r="Z86" s="152"/>
      <c r="AA86" s="152"/>
      <c r="AB86" s="152"/>
    </row>
    <row r="87" spans="1:28" ht="16.5" customHeight="1" x14ac:dyDescent="0.4">
      <c r="B87" s="243"/>
      <c r="E87" s="237"/>
      <c r="F87" s="232"/>
      <c r="G87" s="117"/>
      <c r="H87" s="117"/>
      <c r="I87" s="117"/>
      <c r="J87" s="117"/>
      <c r="K87" s="117"/>
      <c r="L87" s="117"/>
      <c r="M87" s="117"/>
      <c r="P87" s="243"/>
      <c r="Q87" s="7"/>
      <c r="R87" s="243"/>
      <c r="S87" s="243"/>
      <c r="T87" s="272"/>
      <c r="U87" s="272"/>
      <c r="V87" s="152"/>
      <c r="W87" s="152"/>
      <c r="X87" s="152"/>
      <c r="Y87" s="152"/>
      <c r="Z87" s="152"/>
      <c r="AA87" s="152"/>
      <c r="AB87" s="152"/>
    </row>
    <row r="88" spans="1:28" ht="16.5" customHeight="1" x14ac:dyDescent="0.4">
      <c r="B88" s="243"/>
      <c r="E88" s="237"/>
      <c r="F88" s="232"/>
      <c r="G88" s="117"/>
      <c r="H88" s="117"/>
      <c r="I88" s="117"/>
      <c r="J88" s="117"/>
      <c r="K88" s="117"/>
      <c r="L88" s="117"/>
      <c r="M88" s="117"/>
      <c r="P88" s="243"/>
      <c r="Q88" s="243"/>
      <c r="R88" s="243"/>
      <c r="S88" s="243"/>
      <c r="T88" s="272"/>
      <c r="U88" s="272"/>
      <c r="V88" s="152"/>
      <c r="W88" s="152"/>
      <c r="X88" s="152"/>
      <c r="Y88" s="152"/>
      <c r="Z88" s="152"/>
      <c r="AA88" s="152"/>
      <c r="AB88" s="152"/>
    </row>
    <row r="89" spans="1:28" ht="16.5" customHeight="1" x14ac:dyDescent="0.4">
      <c r="B89" s="243"/>
      <c r="E89" s="237"/>
      <c r="F89" s="232"/>
      <c r="G89" s="117"/>
      <c r="H89" s="117"/>
      <c r="I89" s="117"/>
      <c r="J89" s="117"/>
      <c r="K89" s="117"/>
      <c r="L89" s="117"/>
      <c r="M89" s="117"/>
      <c r="P89" s="243"/>
      <c r="Q89" s="243"/>
      <c r="R89" s="243"/>
      <c r="S89" s="243"/>
      <c r="T89" s="272"/>
      <c r="U89" s="272"/>
      <c r="V89" s="152"/>
      <c r="W89" s="152"/>
      <c r="X89" s="152"/>
      <c r="Y89" s="152"/>
      <c r="Z89" s="152"/>
      <c r="AA89" s="152"/>
      <c r="AB89" s="152"/>
    </row>
    <row r="90" spans="1:28" ht="16.5" customHeight="1" x14ac:dyDescent="0.4">
      <c r="B90" s="243"/>
      <c r="E90" s="237"/>
      <c r="F90" s="232"/>
      <c r="G90" s="117"/>
      <c r="H90" s="117"/>
      <c r="I90" s="117"/>
      <c r="J90" s="117"/>
      <c r="K90" s="117"/>
      <c r="L90" s="117"/>
      <c r="M90" s="117"/>
      <c r="P90" s="243"/>
      <c r="Q90" s="243"/>
      <c r="R90" s="243"/>
      <c r="S90" s="243"/>
      <c r="T90" s="272"/>
      <c r="U90" s="272"/>
      <c r="V90" s="152"/>
      <c r="W90" s="152"/>
      <c r="X90" s="152"/>
      <c r="Y90" s="152"/>
      <c r="Z90" s="152"/>
      <c r="AA90" s="152"/>
      <c r="AB90" s="152"/>
    </row>
    <row r="91" spans="1:28" ht="16.5" customHeight="1" x14ac:dyDescent="0.4">
      <c r="B91" s="243"/>
      <c r="E91" s="237"/>
      <c r="F91" s="232"/>
      <c r="G91" s="117"/>
      <c r="H91" s="117"/>
      <c r="I91" s="117"/>
      <c r="J91" s="117"/>
      <c r="K91" s="117"/>
      <c r="L91" s="117"/>
      <c r="M91" s="117"/>
      <c r="P91" s="243"/>
      <c r="Q91" s="243"/>
      <c r="R91" s="243"/>
      <c r="S91" s="243"/>
      <c r="T91" s="272"/>
      <c r="U91" s="272"/>
      <c r="V91" s="152"/>
      <c r="W91" s="152"/>
      <c r="X91" s="152"/>
      <c r="Y91" s="152"/>
      <c r="Z91" s="152"/>
      <c r="AA91" s="152"/>
      <c r="AB91" s="152"/>
    </row>
    <row r="92" spans="1:28" ht="16.5" customHeight="1" x14ac:dyDescent="0.4">
      <c r="B92" s="243"/>
      <c r="E92" s="237"/>
      <c r="F92" s="232"/>
      <c r="G92" s="117"/>
      <c r="H92" s="117"/>
      <c r="I92" s="117"/>
      <c r="J92" s="117"/>
      <c r="K92" s="117"/>
      <c r="L92" s="117"/>
      <c r="M92" s="117"/>
      <c r="P92" s="243"/>
      <c r="Q92" s="243"/>
      <c r="R92" s="243"/>
      <c r="S92" s="243"/>
      <c r="T92" s="272"/>
      <c r="U92" s="272"/>
      <c r="V92" s="154"/>
      <c r="W92" s="152"/>
      <c r="X92" s="154"/>
      <c r="Y92" s="152"/>
      <c r="Z92" s="154"/>
      <c r="AA92" s="152"/>
      <c r="AB92" s="154"/>
    </row>
    <row r="93" spans="1:28" ht="16.5" customHeight="1" x14ac:dyDescent="0.4">
      <c r="B93" s="282"/>
      <c r="E93" s="237"/>
      <c r="F93" s="232"/>
      <c r="G93" s="11"/>
      <c r="H93" s="11"/>
      <c r="I93" s="11"/>
      <c r="J93" s="11"/>
      <c r="K93" s="11"/>
      <c r="L93" s="11"/>
      <c r="M93" s="11"/>
      <c r="P93" s="243"/>
      <c r="Q93" s="243"/>
      <c r="R93" s="243"/>
      <c r="S93" s="243"/>
      <c r="T93" s="272"/>
      <c r="U93" s="272"/>
      <c r="V93" s="154"/>
      <c r="W93" s="152"/>
      <c r="X93" s="154"/>
      <c r="Y93" s="152"/>
      <c r="Z93" s="152"/>
      <c r="AA93" s="152"/>
      <c r="AB93" s="152"/>
    </row>
    <row r="94" spans="1:28" ht="16.5" customHeight="1" x14ac:dyDescent="0.4">
      <c r="B94" s="282"/>
      <c r="E94" s="237"/>
      <c r="F94" s="232"/>
      <c r="G94" s="11"/>
      <c r="H94" s="11"/>
      <c r="I94" s="11"/>
      <c r="J94" s="11"/>
      <c r="K94" s="11"/>
      <c r="L94" s="11"/>
      <c r="M94" s="11"/>
      <c r="P94" s="243"/>
      <c r="Q94" s="243"/>
      <c r="R94" s="243"/>
      <c r="S94" s="243"/>
      <c r="T94" s="272"/>
      <c r="U94" s="272"/>
      <c r="V94" s="152"/>
      <c r="W94" s="152"/>
      <c r="X94" s="152"/>
      <c r="Y94" s="152"/>
      <c r="Z94" s="152"/>
      <c r="AA94" s="152"/>
      <c r="AB94" s="152"/>
    </row>
    <row r="95" spans="1:28" ht="16.5" customHeight="1" x14ac:dyDescent="0.4">
      <c r="B95" s="282"/>
      <c r="E95" s="237"/>
      <c r="F95" s="232"/>
      <c r="G95" s="11"/>
      <c r="H95" s="11"/>
      <c r="I95" s="11"/>
      <c r="J95" s="11"/>
      <c r="K95" s="11"/>
      <c r="L95" s="11"/>
      <c r="M95" s="11"/>
      <c r="P95" s="243"/>
      <c r="Q95" s="243"/>
      <c r="R95" s="243"/>
      <c r="S95" s="243"/>
      <c r="T95" s="272"/>
      <c r="U95" s="272"/>
      <c r="V95" s="152"/>
      <c r="W95" s="152"/>
      <c r="X95" s="152"/>
      <c r="Y95" s="152"/>
      <c r="Z95" s="152"/>
      <c r="AA95" s="152"/>
      <c r="AB95" s="152"/>
    </row>
    <row r="96" spans="1:28" ht="16.5" customHeight="1" x14ac:dyDescent="0.4">
      <c r="B96" s="282"/>
      <c r="E96" s="237"/>
      <c r="F96" s="232"/>
      <c r="G96" s="11"/>
      <c r="H96" s="11"/>
      <c r="I96" s="11"/>
      <c r="J96" s="11"/>
      <c r="K96" s="11"/>
      <c r="L96" s="11"/>
      <c r="M96" s="11"/>
      <c r="P96" s="243"/>
      <c r="Q96" s="243"/>
      <c r="R96" s="243"/>
      <c r="S96" s="243"/>
      <c r="T96" s="283"/>
      <c r="U96" s="283"/>
      <c r="V96" s="284"/>
      <c r="W96" s="283"/>
      <c r="X96" s="284"/>
      <c r="Y96" s="283"/>
      <c r="Z96" s="284"/>
      <c r="AA96" s="283"/>
      <c r="AB96" s="284"/>
    </row>
    <row r="97" spans="1:28" ht="16.5" customHeight="1" x14ac:dyDescent="0.4">
      <c r="E97" s="237"/>
      <c r="F97" s="232"/>
      <c r="G97" s="117"/>
      <c r="H97" s="117"/>
      <c r="I97" s="117"/>
      <c r="J97" s="117"/>
      <c r="K97" s="117"/>
      <c r="L97" s="117"/>
      <c r="M97" s="117"/>
      <c r="P97" s="243"/>
      <c r="Q97" s="243"/>
      <c r="R97" s="243"/>
      <c r="S97" s="243"/>
      <c r="T97" s="272"/>
      <c r="U97" s="283"/>
      <c r="V97" s="152"/>
      <c r="W97" s="155"/>
      <c r="X97" s="152"/>
      <c r="Y97" s="155"/>
      <c r="Z97" s="152"/>
      <c r="AA97" s="155"/>
      <c r="AB97" s="152"/>
    </row>
    <row r="98" spans="1:28" ht="16.5" customHeight="1" x14ac:dyDescent="0.4">
      <c r="E98" s="237"/>
      <c r="F98" s="232"/>
      <c r="G98" s="117"/>
      <c r="H98" s="117"/>
      <c r="I98" s="117"/>
      <c r="J98" s="117"/>
      <c r="K98" s="117"/>
      <c r="L98" s="117"/>
      <c r="M98" s="117"/>
      <c r="P98" s="243"/>
      <c r="Q98" s="243"/>
      <c r="R98" s="243"/>
      <c r="S98" s="243"/>
      <c r="T98" s="272"/>
      <c r="U98" s="283"/>
      <c r="V98" s="152"/>
      <c r="W98" s="155"/>
      <c r="X98" s="152"/>
      <c r="Y98" s="155"/>
      <c r="Z98" s="152"/>
      <c r="AA98" s="155"/>
      <c r="AB98" s="152"/>
    </row>
    <row r="99" spans="1:28" ht="16.5" customHeight="1" x14ac:dyDescent="0.4">
      <c r="E99" s="237"/>
      <c r="F99" s="232"/>
      <c r="G99" s="117"/>
      <c r="H99" s="117"/>
      <c r="I99" s="117"/>
      <c r="J99" s="117"/>
      <c r="K99" s="117"/>
      <c r="L99" s="117"/>
      <c r="M99" s="117"/>
      <c r="P99" s="243"/>
      <c r="Q99" s="243"/>
      <c r="R99" s="243"/>
      <c r="S99" s="243"/>
      <c r="T99" s="272"/>
      <c r="U99" s="283"/>
      <c r="V99" s="152"/>
      <c r="W99" s="155"/>
      <c r="X99" s="152"/>
      <c r="Y99" s="155"/>
      <c r="Z99" s="152"/>
      <c r="AA99" s="155"/>
      <c r="AB99" s="152"/>
    </row>
    <row r="100" spans="1:28" ht="16.5" customHeight="1" x14ac:dyDescent="0.4">
      <c r="E100" s="237"/>
      <c r="F100" s="232"/>
      <c r="G100" s="117"/>
      <c r="H100" s="117"/>
      <c r="I100" s="117"/>
      <c r="J100" s="117"/>
      <c r="K100" s="117"/>
      <c r="L100" s="117"/>
      <c r="M100" s="117"/>
      <c r="P100" s="243"/>
      <c r="Q100" s="243"/>
      <c r="R100" s="243"/>
      <c r="S100" s="243"/>
      <c r="T100" s="272"/>
      <c r="U100" s="283"/>
      <c r="V100" s="152"/>
      <c r="W100" s="155"/>
      <c r="X100" s="152"/>
      <c r="Y100" s="155"/>
      <c r="Z100" s="152"/>
      <c r="AA100" s="155"/>
      <c r="AB100" s="152"/>
    </row>
    <row r="101" spans="1:28" ht="16.5" customHeight="1" x14ac:dyDescent="0.4">
      <c r="E101" s="237"/>
      <c r="F101" s="232"/>
      <c r="G101" s="117"/>
      <c r="H101" s="117"/>
      <c r="I101" s="117"/>
      <c r="J101" s="117"/>
      <c r="K101" s="117"/>
      <c r="L101" s="117"/>
      <c r="M101" s="117"/>
      <c r="P101" s="243"/>
      <c r="Q101" s="243"/>
      <c r="R101" s="243"/>
      <c r="S101" s="243"/>
      <c r="T101" s="272"/>
      <c r="U101" s="283"/>
      <c r="V101" s="152"/>
      <c r="W101" s="155"/>
      <c r="X101" s="152"/>
      <c r="Y101" s="155"/>
      <c r="Z101" s="152"/>
      <c r="AA101" s="155"/>
      <c r="AB101" s="152"/>
    </row>
    <row r="102" spans="1:28" ht="16.5" customHeight="1" x14ac:dyDescent="0.4">
      <c r="E102" s="237"/>
      <c r="F102" s="232"/>
      <c r="G102" s="117"/>
      <c r="H102" s="117"/>
      <c r="I102" s="117"/>
      <c r="J102" s="117"/>
      <c r="K102" s="117"/>
      <c r="L102" s="117"/>
      <c r="M102" s="117"/>
      <c r="P102" s="243"/>
      <c r="Q102" s="243"/>
      <c r="R102" s="243"/>
      <c r="S102" s="243"/>
      <c r="T102" s="272"/>
      <c r="U102" s="283"/>
      <c r="V102" s="152"/>
      <c r="W102" s="155"/>
      <c r="X102" s="152"/>
      <c r="Y102" s="155"/>
      <c r="Z102" s="152"/>
      <c r="AA102" s="155"/>
      <c r="AB102" s="152"/>
    </row>
    <row r="103" spans="1:28" ht="16.5" customHeight="1" x14ac:dyDescent="0.4">
      <c r="E103" s="237"/>
      <c r="F103" s="232"/>
      <c r="G103" s="117"/>
      <c r="H103" s="117"/>
      <c r="I103" s="117"/>
      <c r="J103" s="117"/>
      <c r="K103" s="117"/>
      <c r="L103" s="117"/>
      <c r="M103" s="117"/>
      <c r="P103" s="243"/>
      <c r="Q103" s="243"/>
      <c r="R103" s="243"/>
      <c r="S103" s="243"/>
      <c r="T103" s="272"/>
      <c r="U103" s="283"/>
      <c r="V103" s="152"/>
      <c r="W103" s="155"/>
      <c r="X103" s="152"/>
      <c r="Y103" s="155"/>
      <c r="Z103" s="152"/>
      <c r="AA103" s="155"/>
      <c r="AB103" s="152"/>
    </row>
    <row r="104" spans="1:28" ht="16.5" customHeight="1" x14ac:dyDescent="0.4">
      <c r="E104" s="237"/>
      <c r="F104" s="232"/>
      <c r="G104" s="117"/>
      <c r="H104" s="117"/>
      <c r="I104" s="117"/>
      <c r="J104" s="117"/>
      <c r="K104" s="117"/>
      <c r="L104" s="117"/>
      <c r="M104" s="117"/>
      <c r="P104" s="243"/>
      <c r="Q104" s="243"/>
      <c r="R104" s="243"/>
      <c r="S104" s="243"/>
      <c r="T104" s="272"/>
      <c r="U104" s="283"/>
      <c r="V104" s="152"/>
      <c r="W104" s="155"/>
      <c r="X104" s="152"/>
      <c r="Y104" s="155"/>
      <c r="Z104" s="152"/>
      <c r="AA104" s="155"/>
      <c r="AB104" s="152"/>
    </row>
    <row r="105" spans="1:28" ht="16.5" customHeight="1" x14ac:dyDescent="0.4">
      <c r="E105" s="237"/>
      <c r="F105" s="232"/>
      <c r="G105" s="117"/>
      <c r="H105" s="117"/>
      <c r="I105" s="117"/>
      <c r="J105" s="117"/>
      <c r="K105" s="117"/>
      <c r="L105" s="117"/>
      <c r="M105" s="117"/>
      <c r="P105" s="243"/>
      <c r="Q105" s="243"/>
      <c r="R105" s="243"/>
      <c r="S105" s="243"/>
      <c r="T105" s="272"/>
      <c r="U105" s="283"/>
      <c r="V105" s="152"/>
      <c r="W105" s="155"/>
      <c r="X105" s="152"/>
      <c r="Y105" s="155"/>
      <c r="Z105" s="152"/>
      <c r="AA105" s="155"/>
      <c r="AB105" s="152"/>
    </row>
    <row r="106" spans="1:28" ht="16.5" customHeight="1" x14ac:dyDescent="0.4">
      <c r="E106" s="237"/>
      <c r="F106" s="232"/>
      <c r="G106" s="117"/>
      <c r="H106" s="117"/>
      <c r="I106" s="117"/>
      <c r="J106" s="117"/>
      <c r="K106" s="117"/>
      <c r="L106" s="117"/>
      <c r="M106" s="117"/>
      <c r="P106" s="243"/>
      <c r="Q106" s="243"/>
      <c r="R106" s="243"/>
      <c r="S106" s="243"/>
      <c r="T106" s="272"/>
      <c r="U106" s="283"/>
      <c r="V106" s="152"/>
      <c r="W106" s="155"/>
      <c r="X106" s="152"/>
      <c r="Y106" s="155"/>
      <c r="Z106" s="152"/>
      <c r="AA106" s="155"/>
      <c r="AB106" s="152"/>
    </row>
    <row r="107" spans="1:28" ht="16.5" customHeight="1" x14ac:dyDescent="0.4">
      <c r="F107" s="232"/>
      <c r="G107" s="117"/>
      <c r="H107" s="117"/>
      <c r="I107" s="117"/>
      <c r="J107" s="117"/>
      <c r="K107" s="117"/>
      <c r="L107" s="117"/>
      <c r="M107" s="117"/>
      <c r="P107" s="243"/>
      <c r="Q107" s="243"/>
      <c r="R107" s="243"/>
      <c r="S107" s="243"/>
      <c r="T107" s="272"/>
      <c r="U107" s="272"/>
      <c r="V107" s="152"/>
      <c r="W107" s="152"/>
      <c r="X107" s="152"/>
      <c r="Y107" s="152"/>
      <c r="Z107" s="152"/>
      <c r="AA107" s="152"/>
      <c r="AB107" s="152"/>
    </row>
    <row r="108" spans="1:28" ht="16.5" customHeight="1" x14ac:dyDescent="0.4">
      <c r="G108" s="277"/>
      <c r="H108" s="277"/>
      <c r="I108" s="277"/>
      <c r="J108" s="277"/>
      <c r="L108" s="277"/>
      <c r="M108" s="277"/>
      <c r="P108" s="243"/>
      <c r="Q108" s="243"/>
      <c r="R108" s="243"/>
      <c r="S108" s="243"/>
      <c r="T108" s="272"/>
      <c r="U108" s="272"/>
      <c r="V108" s="152"/>
      <c r="W108" s="152"/>
      <c r="X108" s="152"/>
      <c r="Y108" s="152"/>
      <c r="Z108" s="152"/>
      <c r="AA108" s="152"/>
      <c r="AB108" s="152"/>
    </row>
    <row r="109" spans="1:28" ht="16.5" customHeight="1" x14ac:dyDescent="0.45">
      <c r="A109" s="278"/>
      <c r="G109" s="277"/>
      <c r="H109" s="277"/>
      <c r="I109" s="277"/>
      <c r="J109" s="277"/>
      <c r="L109" s="277"/>
      <c r="M109" s="277"/>
      <c r="P109" s="243"/>
      <c r="Q109" s="243"/>
      <c r="R109" s="243"/>
      <c r="S109" s="243"/>
      <c r="T109" s="272"/>
      <c r="U109" s="272"/>
      <c r="V109" s="152"/>
      <c r="W109" s="152"/>
      <c r="X109" s="152"/>
      <c r="Y109" s="152"/>
      <c r="Z109" s="152"/>
      <c r="AA109" s="152"/>
      <c r="AB109" s="152"/>
    </row>
    <row r="110" spans="1:28" ht="16.5" customHeight="1" x14ac:dyDescent="0.45">
      <c r="A110" s="278"/>
      <c r="G110" s="277"/>
      <c r="H110" s="277"/>
      <c r="I110" s="277"/>
      <c r="J110" s="277"/>
      <c r="L110" s="277"/>
      <c r="M110" s="277"/>
      <c r="P110" s="7"/>
      <c r="Q110" s="243"/>
      <c r="R110" s="243"/>
      <c r="S110" s="243"/>
      <c r="T110" s="272"/>
      <c r="U110" s="272"/>
      <c r="V110" s="152"/>
      <c r="W110" s="152"/>
      <c r="X110" s="152"/>
      <c r="Y110" s="152"/>
      <c r="Z110" s="152"/>
      <c r="AA110" s="152"/>
      <c r="AB110" s="152"/>
    </row>
    <row r="111" spans="1:28" ht="16.5" customHeight="1" x14ac:dyDescent="0.4">
      <c r="A111" s="250"/>
      <c r="B111" s="261" t="s">
        <v>145</v>
      </c>
      <c r="C111" s="233"/>
      <c r="D111" s="261"/>
      <c r="G111" s="279"/>
      <c r="H111" s="261" t="s">
        <v>145</v>
      </c>
      <c r="I111" s="279"/>
      <c r="J111" s="279"/>
      <c r="K111" s="279"/>
      <c r="L111" s="279"/>
      <c r="M111" s="279"/>
      <c r="P111" s="243"/>
      <c r="Q111" s="243"/>
      <c r="R111" s="243"/>
      <c r="S111" s="243"/>
      <c r="T111" s="272"/>
      <c r="U111" s="272"/>
      <c r="V111" s="152"/>
      <c r="W111" s="152"/>
      <c r="X111" s="152"/>
      <c r="Y111" s="152"/>
      <c r="Z111" s="152"/>
      <c r="AA111" s="152"/>
      <c r="AB111" s="152"/>
    </row>
    <row r="112" spans="1:28" ht="16.5" customHeight="1" x14ac:dyDescent="0.4">
      <c r="A112" s="7"/>
      <c r="G112" s="277"/>
      <c r="H112" s="277"/>
      <c r="I112" s="277"/>
      <c r="J112" s="277"/>
      <c r="L112" s="277"/>
      <c r="M112" s="277"/>
      <c r="P112" s="243"/>
      <c r="Q112" s="243"/>
      <c r="R112" s="243"/>
      <c r="S112" s="243"/>
      <c r="T112" s="272"/>
      <c r="U112" s="272"/>
      <c r="V112" s="152"/>
      <c r="W112" s="152"/>
      <c r="X112" s="152"/>
      <c r="Y112" s="152"/>
      <c r="Z112" s="152"/>
      <c r="AA112" s="152"/>
      <c r="AB112" s="152"/>
    </row>
    <row r="113" spans="1:28" s="3" customFormat="1" ht="5.25" customHeight="1" x14ac:dyDescent="0.4">
      <c r="A113" s="311"/>
      <c r="B113" s="311"/>
      <c r="C113" s="311"/>
      <c r="D113" s="311"/>
      <c r="E113" s="311"/>
      <c r="F113" s="311"/>
      <c r="G113" s="311"/>
      <c r="H113" s="311"/>
      <c r="I113" s="311"/>
      <c r="J113" s="311"/>
      <c r="K113" s="311"/>
      <c r="L113" s="311"/>
      <c r="M113" s="311"/>
      <c r="P113" s="243"/>
      <c r="Q113" s="243"/>
      <c r="R113" s="243"/>
      <c r="S113" s="243"/>
      <c r="T113" s="272"/>
      <c r="U113" s="272"/>
      <c r="V113" s="152"/>
      <c r="W113" s="152"/>
      <c r="X113" s="152"/>
      <c r="Y113" s="152"/>
      <c r="Z113" s="152"/>
      <c r="AA113" s="152"/>
      <c r="AB113" s="152"/>
    </row>
    <row r="114" spans="1:28" ht="16.5" hidden="1" customHeight="1" x14ac:dyDescent="0.4">
      <c r="E114" s="232"/>
      <c r="F114" s="232"/>
      <c r="G114" s="277"/>
      <c r="H114" s="277"/>
      <c r="I114" s="277"/>
      <c r="J114" s="277"/>
      <c r="L114" s="277"/>
      <c r="M114" s="277"/>
      <c r="P114" s="243"/>
      <c r="Q114" s="243"/>
      <c r="R114" s="243"/>
      <c r="S114" s="243"/>
      <c r="T114" s="272"/>
      <c r="U114" s="283"/>
      <c r="V114" s="152"/>
      <c r="W114" s="283"/>
      <c r="X114" s="152"/>
      <c r="Y114" s="283"/>
      <c r="Z114" s="152"/>
      <c r="AA114" s="283"/>
      <c r="AB114" s="152"/>
    </row>
    <row r="115" spans="1:28" ht="16.5" hidden="1" customHeight="1" x14ac:dyDescent="0.4">
      <c r="D115" s="8" t="s">
        <v>214</v>
      </c>
      <c r="E115" s="232"/>
      <c r="F115" s="232"/>
      <c r="G115" s="117">
        <f>'BS_Q2-68'!F13</f>
        <v>117406482.40000001</v>
      </c>
      <c r="H115" s="118"/>
      <c r="I115" s="117">
        <v>129415815.02999997</v>
      </c>
      <c r="J115" s="118"/>
      <c r="K115" s="117">
        <f>'BS_Q2-68'!J13</f>
        <v>51664042.770000011</v>
      </c>
      <c r="L115" s="117"/>
      <c r="M115" s="153">
        <v>25556654.370000035</v>
      </c>
      <c r="P115" s="243"/>
      <c r="Q115" s="243"/>
      <c r="R115" s="243"/>
      <c r="S115" s="243"/>
      <c r="T115" s="272"/>
      <c r="U115" s="283"/>
      <c r="V115" s="152"/>
      <c r="W115" s="283"/>
      <c r="X115" s="152"/>
      <c r="Y115" s="283"/>
      <c r="Z115" s="152"/>
      <c r="AA115" s="283"/>
      <c r="AB115" s="152"/>
    </row>
    <row r="116" spans="1:28" ht="16.5" hidden="1" customHeight="1" x14ac:dyDescent="0.4">
      <c r="D116" s="8" t="s">
        <v>215</v>
      </c>
      <c r="E116" s="232"/>
      <c r="F116" s="232"/>
      <c r="G116" s="117">
        <f>+G115-G80</f>
        <v>0</v>
      </c>
      <c r="H116" s="117"/>
      <c r="I116" s="117">
        <f>+I115-I80</f>
        <v>0</v>
      </c>
      <c r="J116" s="117"/>
      <c r="K116" s="117">
        <f>+K115-K80</f>
        <v>0</v>
      </c>
      <c r="L116" s="117"/>
      <c r="M116" s="117">
        <f>+M115-M80</f>
        <v>0</v>
      </c>
      <c r="P116" s="243"/>
      <c r="Q116" s="243"/>
      <c r="R116" s="243"/>
      <c r="S116" s="243"/>
      <c r="T116" s="272"/>
      <c r="U116" s="283"/>
      <c r="V116" s="152"/>
      <c r="W116" s="283"/>
      <c r="X116" s="152"/>
      <c r="Y116" s="283"/>
      <c r="Z116" s="152"/>
      <c r="AA116" s="283"/>
      <c r="AB116" s="152"/>
    </row>
    <row r="117" spans="1:28" ht="16.5" customHeight="1" x14ac:dyDescent="0.4">
      <c r="E117" s="232"/>
      <c r="F117" s="232"/>
      <c r="G117" s="277"/>
      <c r="H117" s="277"/>
      <c r="I117" s="277"/>
      <c r="J117" s="277"/>
      <c r="L117" s="277"/>
      <c r="M117" s="277"/>
      <c r="P117" s="243"/>
      <c r="Q117" s="243"/>
      <c r="R117" s="243"/>
      <c r="S117" s="243"/>
      <c r="T117" s="283"/>
      <c r="U117" s="283"/>
      <c r="V117" s="152"/>
      <c r="W117" s="283"/>
      <c r="X117" s="152"/>
      <c r="Y117" s="283"/>
      <c r="Z117" s="152"/>
      <c r="AA117" s="283"/>
      <c r="AB117" s="152"/>
    </row>
    <row r="118" spans="1:28" ht="16.5" customHeight="1" x14ac:dyDescent="0.4">
      <c r="E118" s="232"/>
      <c r="F118" s="232"/>
      <c r="G118" s="277"/>
      <c r="H118" s="277"/>
      <c r="I118" s="277"/>
      <c r="J118" s="277"/>
      <c r="L118" s="277"/>
      <c r="M118" s="277"/>
      <c r="P118" s="243"/>
      <c r="Q118" s="243"/>
      <c r="R118" s="243"/>
      <c r="S118" s="243"/>
      <c r="T118" s="283"/>
      <c r="U118" s="283"/>
      <c r="V118" s="284"/>
      <c r="W118" s="283"/>
      <c r="X118" s="155"/>
      <c r="Y118" s="283"/>
      <c r="Z118" s="284"/>
      <c r="AA118" s="283"/>
      <c r="AB118" s="284"/>
    </row>
    <row r="119" spans="1:28" ht="16.5" customHeight="1" x14ac:dyDescent="0.4">
      <c r="E119" s="232"/>
      <c r="F119" s="232"/>
      <c r="G119" s="277"/>
      <c r="H119" s="277"/>
      <c r="I119" s="277"/>
      <c r="J119" s="277"/>
      <c r="L119" s="277"/>
      <c r="M119" s="277"/>
      <c r="P119" s="7"/>
      <c r="Q119" s="283"/>
      <c r="R119" s="285"/>
      <c r="S119" s="283"/>
      <c r="T119" s="283"/>
      <c r="U119" s="283"/>
      <c r="V119" s="284"/>
      <c r="W119" s="283"/>
      <c r="X119" s="155"/>
      <c r="Y119" s="283"/>
      <c r="Z119" s="284"/>
      <c r="AA119" s="283"/>
      <c r="AB119" s="284"/>
    </row>
    <row r="120" spans="1:28" ht="16.5" customHeight="1" x14ac:dyDescent="0.4">
      <c r="E120" s="232"/>
      <c r="F120" s="232"/>
      <c r="G120" s="277"/>
      <c r="H120" s="277"/>
      <c r="I120" s="277"/>
      <c r="J120" s="277"/>
      <c r="L120" s="277"/>
      <c r="M120" s="277"/>
      <c r="P120" s="7"/>
    </row>
    <row r="121" spans="1:28" ht="16.5" customHeight="1" x14ac:dyDescent="0.4">
      <c r="E121" s="232"/>
      <c r="F121" s="232"/>
      <c r="G121" s="277"/>
      <c r="H121" s="277"/>
      <c r="I121" s="277"/>
      <c r="J121" s="277"/>
      <c r="L121" s="277"/>
      <c r="M121" s="277"/>
      <c r="P121" s="7"/>
    </row>
    <row r="122" spans="1:28" ht="16.5" customHeight="1" x14ac:dyDescent="0.4">
      <c r="E122" s="232"/>
      <c r="F122" s="232"/>
      <c r="G122" s="277"/>
      <c r="H122" s="277"/>
      <c r="I122" s="277"/>
      <c r="J122" s="277"/>
      <c r="L122" s="277"/>
      <c r="M122" s="277"/>
      <c r="P122" s="233"/>
      <c r="Q122" s="261"/>
      <c r="R122" s="233"/>
      <c r="S122" s="261"/>
      <c r="U122" s="261"/>
      <c r="V122" s="233"/>
      <c r="W122" s="233"/>
      <c r="X122" s="233"/>
      <c r="Y122" s="233"/>
      <c r="Z122" s="233"/>
      <c r="AA122" s="233"/>
      <c r="AB122" s="233"/>
    </row>
    <row r="123" spans="1:28" ht="16.5" customHeight="1" x14ac:dyDescent="0.4">
      <c r="E123" s="232"/>
      <c r="F123" s="232"/>
      <c r="P123" s="304"/>
      <c r="Q123" s="304"/>
      <c r="R123" s="304"/>
      <c r="S123" s="304"/>
      <c r="T123" s="304"/>
      <c r="U123" s="304"/>
      <c r="V123" s="304"/>
      <c r="W123" s="304"/>
      <c r="X123" s="304"/>
      <c r="Y123" s="304"/>
      <c r="Z123" s="304"/>
      <c r="AA123" s="304"/>
      <c r="AB123" s="304"/>
    </row>
    <row r="124" spans="1:28" ht="16.5" customHeight="1" x14ac:dyDescent="0.4">
      <c r="E124" s="232"/>
      <c r="F124" s="232"/>
    </row>
    <row r="125" spans="1:28" ht="16.5" customHeight="1" x14ac:dyDescent="0.4">
      <c r="E125" s="232"/>
      <c r="F125" s="232"/>
      <c r="P125" s="7"/>
      <c r="S125" s="8"/>
      <c r="T125" s="232"/>
      <c r="U125" s="232"/>
      <c r="V125" s="152"/>
      <c r="W125" s="152"/>
      <c r="X125" s="152"/>
      <c r="Y125" s="152"/>
      <c r="Z125" s="152"/>
      <c r="AA125" s="152"/>
      <c r="AB125" s="152"/>
    </row>
    <row r="126" spans="1:28" ht="16.5" customHeight="1" x14ac:dyDescent="0.4">
      <c r="E126" s="232"/>
      <c r="F126" s="232"/>
      <c r="P126" s="7"/>
      <c r="S126" s="8"/>
      <c r="T126" s="232"/>
      <c r="U126" s="232"/>
      <c r="V126" s="152"/>
      <c r="W126" s="152"/>
      <c r="X126" s="152"/>
      <c r="Y126" s="152"/>
      <c r="Z126" s="152"/>
      <c r="AA126" s="152"/>
      <c r="AB126" s="152"/>
    </row>
    <row r="127" spans="1:28" ht="16.5" customHeight="1" x14ac:dyDescent="0.4">
      <c r="E127" s="232"/>
      <c r="F127" s="232"/>
      <c r="P127" s="7"/>
      <c r="T127" s="232"/>
      <c r="U127" s="232"/>
    </row>
    <row r="128" spans="1:28" ht="16.5" customHeight="1" x14ac:dyDescent="0.4">
      <c r="E128" s="232"/>
      <c r="F128" s="232"/>
      <c r="T128" s="232"/>
      <c r="U128" s="232"/>
    </row>
    <row r="129" spans="5:21" ht="16.5" customHeight="1" x14ac:dyDescent="0.4">
      <c r="E129" s="232"/>
      <c r="F129" s="232"/>
      <c r="T129" s="232"/>
      <c r="U129" s="232"/>
    </row>
    <row r="130" spans="5:21" ht="16.5" customHeight="1" x14ac:dyDescent="0.4">
      <c r="E130" s="232"/>
      <c r="F130" s="232"/>
      <c r="T130" s="232"/>
      <c r="U130" s="232"/>
    </row>
    <row r="131" spans="5:21" ht="16.5" customHeight="1" x14ac:dyDescent="0.4">
      <c r="E131" s="232"/>
      <c r="F131" s="232"/>
      <c r="T131" s="232"/>
      <c r="U131" s="232"/>
    </row>
    <row r="132" spans="5:21" ht="16.5" customHeight="1" x14ac:dyDescent="0.4">
      <c r="E132" s="232"/>
      <c r="F132" s="232"/>
      <c r="T132" s="232"/>
      <c r="U132" s="232"/>
    </row>
    <row r="133" spans="5:21" ht="16.5" customHeight="1" x14ac:dyDescent="0.4">
      <c r="E133" s="232"/>
      <c r="F133" s="232"/>
      <c r="T133" s="232"/>
      <c r="U133" s="232"/>
    </row>
    <row r="134" spans="5:21" ht="16.5" customHeight="1" x14ac:dyDescent="0.4">
      <c r="E134" s="232"/>
      <c r="F134" s="232"/>
      <c r="T134" s="232"/>
      <c r="U134" s="232"/>
    </row>
    <row r="135" spans="5:21" ht="16.5" customHeight="1" x14ac:dyDescent="0.4">
      <c r="E135" s="232"/>
      <c r="F135" s="232"/>
      <c r="T135" s="232"/>
      <c r="U135" s="232"/>
    </row>
    <row r="136" spans="5:21" ht="16.5" customHeight="1" x14ac:dyDescent="0.4">
      <c r="E136" s="232"/>
      <c r="F136" s="232"/>
      <c r="T136" s="232"/>
      <c r="U136" s="232"/>
    </row>
    <row r="137" spans="5:21" ht="16.5" customHeight="1" x14ac:dyDescent="0.4">
      <c r="E137" s="232"/>
      <c r="F137" s="232"/>
      <c r="T137" s="232"/>
      <c r="U137" s="232"/>
    </row>
    <row r="138" spans="5:21" ht="16.5" customHeight="1" x14ac:dyDescent="0.4">
      <c r="E138" s="232"/>
      <c r="F138" s="232"/>
      <c r="T138" s="232"/>
      <c r="U138" s="232"/>
    </row>
    <row r="139" spans="5:21" ht="16.5" customHeight="1" x14ac:dyDescent="0.4">
      <c r="E139" s="232"/>
      <c r="F139" s="232"/>
      <c r="T139" s="232"/>
      <c r="U139" s="232"/>
    </row>
    <row r="140" spans="5:21" ht="16.5" customHeight="1" x14ac:dyDescent="0.4">
      <c r="E140" s="232"/>
      <c r="F140" s="232"/>
      <c r="T140" s="232"/>
      <c r="U140" s="232"/>
    </row>
    <row r="141" spans="5:21" ht="16.5" customHeight="1" x14ac:dyDescent="0.4">
      <c r="E141" s="232"/>
      <c r="F141" s="232"/>
      <c r="T141" s="232"/>
      <c r="U141" s="232"/>
    </row>
    <row r="142" spans="5:21" ht="16.5" customHeight="1" x14ac:dyDescent="0.4">
      <c r="E142" s="232"/>
      <c r="F142" s="232"/>
      <c r="T142" s="232"/>
      <c r="U142" s="232"/>
    </row>
    <row r="143" spans="5:21" ht="16.5" customHeight="1" x14ac:dyDescent="0.4">
      <c r="T143" s="232"/>
      <c r="U143" s="232"/>
    </row>
    <row r="144" spans="5:21" ht="16.5" customHeight="1" x14ac:dyDescent="0.4">
      <c r="T144" s="232"/>
      <c r="U144" s="232"/>
    </row>
    <row r="145" spans="20:21" ht="16.5" customHeight="1" x14ac:dyDescent="0.4">
      <c r="T145" s="232"/>
      <c r="U145" s="232"/>
    </row>
    <row r="146" spans="20:21" ht="16.5" customHeight="1" x14ac:dyDescent="0.4">
      <c r="T146" s="232"/>
      <c r="U146" s="232"/>
    </row>
    <row r="147" spans="20:21" ht="16.5" customHeight="1" x14ac:dyDescent="0.4">
      <c r="T147" s="232"/>
      <c r="U147" s="232"/>
    </row>
    <row r="148" spans="20:21" ht="16.5" customHeight="1" x14ac:dyDescent="0.4">
      <c r="T148" s="232"/>
      <c r="U148" s="232"/>
    </row>
    <row r="149" spans="20:21" ht="16.5" customHeight="1" x14ac:dyDescent="0.4">
      <c r="T149" s="232"/>
      <c r="U149" s="232"/>
    </row>
    <row r="150" spans="20:21" ht="16.5" customHeight="1" x14ac:dyDescent="0.4">
      <c r="T150" s="232"/>
      <c r="U150" s="232"/>
    </row>
    <row r="151" spans="20:21" ht="16.5" customHeight="1" x14ac:dyDescent="0.4">
      <c r="T151" s="232"/>
      <c r="U151" s="232"/>
    </row>
    <row r="152" spans="20:21" ht="16.5" customHeight="1" x14ac:dyDescent="0.4">
      <c r="T152" s="232"/>
      <c r="U152" s="232"/>
    </row>
    <row r="153" spans="20:21" ht="16.5" customHeight="1" x14ac:dyDescent="0.4">
      <c r="T153" s="232"/>
      <c r="U153" s="232"/>
    </row>
    <row r="154" spans="20:21" ht="16.5" customHeight="1" x14ac:dyDescent="0.4">
      <c r="T154" s="232"/>
      <c r="U154" s="232"/>
    </row>
    <row r="155" spans="20:21" ht="16.5" customHeight="1" x14ac:dyDescent="0.4">
      <c r="T155" s="232"/>
      <c r="U155" s="232"/>
    </row>
    <row r="156" spans="20:21" ht="16.5" customHeight="1" x14ac:dyDescent="0.4">
      <c r="T156" s="232"/>
      <c r="U156" s="232"/>
    </row>
    <row r="157" spans="20:21" ht="16.5" customHeight="1" x14ac:dyDescent="0.4">
      <c r="T157" s="232"/>
      <c r="U157" s="232"/>
    </row>
  </sheetData>
  <mergeCells count="30">
    <mergeCell ref="V67:X67"/>
    <mergeCell ref="Z67:AB67"/>
    <mergeCell ref="P123:AB123"/>
    <mergeCell ref="P61:AB61"/>
    <mergeCell ref="P62:AB62"/>
    <mergeCell ref="P63:AB63"/>
    <mergeCell ref="V65:AB65"/>
    <mergeCell ref="V66:X66"/>
    <mergeCell ref="Z66:AB66"/>
    <mergeCell ref="V7:X7"/>
    <mergeCell ref="Z7:AB7"/>
    <mergeCell ref="V8:X8"/>
    <mergeCell ref="Z8:AB8"/>
    <mergeCell ref="Z60:AB60"/>
    <mergeCell ref="Z1:AB1"/>
    <mergeCell ref="P2:AB2"/>
    <mergeCell ref="P3:AB3"/>
    <mergeCell ref="P4:AB4"/>
    <mergeCell ref="V6:AB6"/>
    <mergeCell ref="K1:M1"/>
    <mergeCell ref="A60:M60"/>
    <mergeCell ref="A113:M113"/>
    <mergeCell ref="A2:M2"/>
    <mergeCell ref="G6:M6"/>
    <mergeCell ref="G7:I7"/>
    <mergeCell ref="K7:M7"/>
    <mergeCell ref="A3:M3"/>
    <mergeCell ref="A4:M4"/>
    <mergeCell ref="G8:I8"/>
    <mergeCell ref="K8:M8"/>
  </mergeCells>
  <phoneticPr fontId="0" type="noConversion"/>
  <pageMargins left="0.7" right="0.41" top="0.75" bottom="0.75" header="0.3" footer="0.3"/>
  <pageSetup paperSize="9" scale="80" firstPageNumber="10" orientation="portrait" useFirstPageNumber="1" r:id="rId1"/>
  <headerFooter alignWithMargins="0">
    <oddFooter>&amp;C&amp;P</oddFooter>
  </headerFooter>
  <rowBreaks count="1" manualBreakCount="1">
    <brk id="60" max="12" man="1"/>
  </rowBreaks>
  <ignoredErrors>
    <ignoredError sqref="E69:F69" numberStoredAsText="1"/>
    <ignoredError sqref="H69 L69 J69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76" customWidth="1"/>
    <col min="2" max="2" width="13.42578125" style="92" bestFit="1" customWidth="1"/>
    <col min="3" max="3" width="13.85546875" style="72" bestFit="1" customWidth="1"/>
    <col min="4" max="4" width="14.85546875" style="77" bestFit="1" customWidth="1"/>
    <col min="5" max="6" width="12.85546875" style="72" customWidth="1"/>
    <col min="7" max="7" width="14.85546875" style="72" bestFit="1" customWidth="1"/>
    <col min="8" max="8" width="15.140625" style="75" customWidth="1"/>
    <col min="9" max="10" width="12.85546875" style="72" customWidth="1"/>
    <col min="11" max="11" width="2.140625" style="76" customWidth="1"/>
    <col min="12" max="13" width="12.85546875" style="76" customWidth="1"/>
    <col min="14" max="16384" width="9.140625" style="76"/>
  </cols>
  <sheetData>
    <row r="1" spans="1:10" x14ac:dyDescent="0.45">
      <c r="A1" s="70" t="s">
        <v>52</v>
      </c>
      <c r="B1" s="71"/>
      <c r="D1" s="73"/>
      <c r="E1" s="74"/>
      <c r="F1" s="74"/>
    </row>
    <row r="2" spans="1:10" ht="21.75" customHeight="1" x14ac:dyDescent="0.45">
      <c r="A2" s="70" t="s">
        <v>89</v>
      </c>
      <c r="B2" s="71"/>
    </row>
    <row r="3" spans="1:10" ht="21.75" customHeight="1" x14ac:dyDescent="0.45">
      <c r="A3" s="78" t="s">
        <v>69</v>
      </c>
      <c r="B3" s="79"/>
      <c r="C3" s="80"/>
      <c r="D3" s="81"/>
      <c r="E3" s="80"/>
      <c r="F3" s="80"/>
      <c r="G3" s="80"/>
      <c r="H3" s="82"/>
      <c r="I3" s="80"/>
      <c r="J3" s="80"/>
    </row>
    <row r="4" spans="1:10" ht="21.75" customHeight="1" x14ac:dyDescent="0.45">
      <c r="A4" s="83"/>
      <c r="B4" s="71"/>
      <c r="H4" s="314" t="s">
        <v>71</v>
      </c>
      <c r="I4" s="314"/>
    </row>
    <row r="5" spans="1:10" s="85" customFormat="1" ht="24" customHeight="1" x14ac:dyDescent="0.45">
      <c r="B5" s="86" t="s">
        <v>63</v>
      </c>
      <c r="C5" s="84" t="s">
        <v>64</v>
      </c>
      <c r="D5" s="79" t="s">
        <v>65</v>
      </c>
      <c r="E5" s="84" t="s">
        <v>67</v>
      </c>
      <c r="F5" s="84" t="s">
        <v>66</v>
      </c>
      <c r="G5" s="84" t="s">
        <v>27</v>
      </c>
      <c r="H5" s="87" t="s">
        <v>72</v>
      </c>
      <c r="I5" s="74" t="s">
        <v>73</v>
      </c>
      <c r="J5" s="80" t="s">
        <v>33</v>
      </c>
    </row>
    <row r="6" spans="1:10" s="85" customFormat="1" ht="24.75" customHeight="1" x14ac:dyDescent="0.45">
      <c r="A6" s="88" t="s">
        <v>90</v>
      </c>
      <c r="B6" s="89"/>
      <c r="C6" s="74"/>
      <c r="D6" s="73"/>
      <c r="E6" s="74"/>
      <c r="F6" s="74"/>
      <c r="G6" s="74"/>
      <c r="H6" s="90"/>
      <c r="I6" s="74"/>
      <c r="J6" s="72"/>
    </row>
    <row r="7" spans="1:10" s="85" customFormat="1" ht="18" customHeight="1" x14ac:dyDescent="0.45">
      <c r="B7" s="89"/>
      <c r="C7" s="74"/>
      <c r="D7" s="73"/>
      <c r="E7" s="91">
        <v>25000</v>
      </c>
      <c r="F7" s="91">
        <v>250000</v>
      </c>
      <c r="G7" s="74"/>
      <c r="H7" s="90"/>
      <c r="I7" s="74"/>
      <c r="J7" s="72"/>
    </row>
    <row r="8" spans="1:10" x14ac:dyDescent="0.45">
      <c r="A8" s="76" t="s">
        <v>98</v>
      </c>
      <c r="B8" s="92">
        <v>4250000</v>
      </c>
      <c r="C8" s="72">
        <v>10000000</v>
      </c>
      <c r="D8" s="77">
        <v>42940000</v>
      </c>
      <c r="E8" s="72">
        <f>+E7*36.48</f>
        <v>911999.99999999988</v>
      </c>
      <c r="F8" s="72">
        <f>+F7*35.32</f>
        <v>8830000</v>
      </c>
    </row>
    <row r="9" spans="1:10" x14ac:dyDescent="0.45">
      <c r="A9" s="76" t="s">
        <v>128</v>
      </c>
      <c r="B9" s="92">
        <v>533031.27</v>
      </c>
      <c r="C9" s="72">
        <v>-11662591.75</v>
      </c>
      <c r="D9" s="77">
        <v>-18618021.34</v>
      </c>
      <c r="E9" s="72">
        <v>0</v>
      </c>
      <c r="F9" s="72">
        <v>0</v>
      </c>
    </row>
    <row r="10" spans="1:10" x14ac:dyDescent="0.45">
      <c r="A10" s="76" t="s">
        <v>91</v>
      </c>
      <c r="B10" s="92">
        <v>99.99</v>
      </c>
      <c r="C10" s="72">
        <v>49.99</v>
      </c>
      <c r="D10" s="77">
        <v>99.99</v>
      </c>
      <c r="E10" s="72">
        <v>100</v>
      </c>
      <c r="F10" s="72">
        <v>51</v>
      </c>
    </row>
    <row r="11" spans="1:10" x14ac:dyDescent="0.45">
      <c r="A11" s="93" t="s">
        <v>92</v>
      </c>
      <c r="B11" s="81">
        <f>+B10*B8/100</f>
        <v>4249575</v>
      </c>
      <c r="C11" s="81">
        <f>+C10*C8/100</f>
        <v>4999000</v>
      </c>
      <c r="D11" s="81">
        <f>+D10*D8/100</f>
        <v>42935706</v>
      </c>
      <c r="E11" s="81">
        <f>+E10*E8/100</f>
        <v>911999.99999999988</v>
      </c>
      <c r="F11" s="81">
        <f>+F10*F8/100</f>
        <v>4503300</v>
      </c>
      <c r="G11" s="80"/>
      <c r="H11" s="94"/>
    </row>
    <row r="12" spans="1:10" x14ac:dyDescent="0.45">
      <c r="A12" s="76" t="s">
        <v>97</v>
      </c>
      <c r="B12" s="95">
        <v>4001000</v>
      </c>
      <c r="C12" s="96">
        <v>1250375</v>
      </c>
      <c r="D12" s="97">
        <f>24321978.66+21431024.34</f>
        <v>45753003</v>
      </c>
      <c r="E12" s="96">
        <v>912000</v>
      </c>
      <c r="F12" s="96">
        <v>4503300</v>
      </c>
      <c r="G12" s="98">
        <f t="shared" ref="G12:G17" si="0">+SUM(B12:F12)</f>
        <v>56419678</v>
      </c>
    </row>
    <row r="13" spans="1:10" x14ac:dyDescent="0.45">
      <c r="A13" s="99" t="s">
        <v>93</v>
      </c>
      <c r="B13" s="100">
        <v>4782963.74</v>
      </c>
      <c r="C13" s="81">
        <v>-1662591.75</v>
      </c>
      <c r="D13" s="81">
        <v>24321978.66</v>
      </c>
      <c r="E13" s="81">
        <v>899000</v>
      </c>
      <c r="F13" s="81">
        <v>4584900</v>
      </c>
      <c r="G13" s="101">
        <f t="shared" si="0"/>
        <v>32926250.649999999</v>
      </c>
      <c r="H13" s="94"/>
    </row>
    <row r="14" spans="1:10" x14ac:dyDescent="0.45">
      <c r="A14" s="102" t="s">
        <v>9</v>
      </c>
      <c r="B14" s="103">
        <f>+B13-B12</f>
        <v>781963.74000000022</v>
      </c>
      <c r="C14" s="103">
        <f>+C13-C12</f>
        <v>-2912966.75</v>
      </c>
      <c r="D14" s="103">
        <f>+D13-D12</f>
        <v>-21431024.34</v>
      </c>
      <c r="E14" s="103">
        <f>+E13-E12</f>
        <v>-13000</v>
      </c>
      <c r="F14" s="103">
        <f>+F13-F12</f>
        <v>81600</v>
      </c>
      <c r="G14" s="101">
        <f t="shared" si="0"/>
        <v>-23493427.350000001</v>
      </c>
      <c r="H14" s="94"/>
    </row>
    <row r="15" spans="1:10" x14ac:dyDescent="0.45">
      <c r="A15" s="104" t="s">
        <v>94</v>
      </c>
      <c r="B15" s="72">
        <v>9963921.2899999991</v>
      </c>
      <c r="C15" s="72">
        <v>-1090678.93</v>
      </c>
      <c r="D15" s="77">
        <v>-1566605.83</v>
      </c>
      <c r="E15" s="72">
        <v>271135.14</v>
      </c>
      <c r="F15" s="72">
        <v>40003.35</v>
      </c>
      <c r="G15" s="72">
        <f t="shared" si="0"/>
        <v>7617775.0199999986</v>
      </c>
    </row>
    <row r="16" spans="1:10" x14ac:dyDescent="0.45">
      <c r="A16" s="76" t="s">
        <v>95</v>
      </c>
      <c r="B16" s="92">
        <f>+B15*B10/100</f>
        <v>9962924.8978709988</v>
      </c>
      <c r="C16" s="92"/>
      <c r="D16" s="92"/>
      <c r="E16" s="92">
        <f>+E15*E10/100</f>
        <v>271135.14</v>
      </c>
      <c r="F16" s="92">
        <f>+F15*F10/100</f>
        <v>20401.708499999997</v>
      </c>
      <c r="G16" s="72">
        <f t="shared" si="0"/>
        <v>10254461.746370999</v>
      </c>
    </row>
    <row r="17" spans="1:10" x14ac:dyDescent="0.45">
      <c r="A17" s="76" t="s">
        <v>96</v>
      </c>
      <c r="C17" s="92">
        <f>+C15*C10/100</f>
        <v>-545230.397107</v>
      </c>
      <c r="D17" s="92">
        <f>+D15*D10/100</f>
        <v>-1566449.1694170001</v>
      </c>
      <c r="E17" s="92"/>
      <c r="F17" s="92"/>
      <c r="G17" s="72">
        <f t="shared" si="0"/>
        <v>-2111679.5665239999</v>
      </c>
    </row>
    <row r="18" spans="1:10" x14ac:dyDescent="0.45">
      <c r="C18" s="92"/>
      <c r="D18" s="92"/>
      <c r="E18" s="92"/>
      <c r="F18" s="92"/>
    </row>
    <row r="19" spans="1:10" x14ac:dyDescent="0.45">
      <c r="A19" s="76" t="s">
        <v>118</v>
      </c>
      <c r="B19" s="92">
        <f>+B15*(100-B10)/100</f>
        <v>996.39212900050961</v>
      </c>
      <c r="C19" s="92">
        <f>+C15*(100-C10)/100</f>
        <v>-545448.53289299994</v>
      </c>
      <c r="D19" s="92">
        <f>+D15*(100-D10)/100</f>
        <v>-156.66058300008015</v>
      </c>
      <c r="E19" s="92">
        <f>+E15*(100-E10)/100</f>
        <v>0</v>
      </c>
      <c r="F19" s="92">
        <f>+F15*(100-F10)/100</f>
        <v>19601.641499999998</v>
      </c>
      <c r="G19" s="105">
        <f>+SUM(B19:F19)</f>
        <v>-525007.15984699945</v>
      </c>
    </row>
    <row r="20" spans="1:10" x14ac:dyDescent="0.45">
      <c r="C20" s="92"/>
      <c r="D20" s="92"/>
      <c r="E20" s="92"/>
      <c r="F20" s="92"/>
    </row>
    <row r="21" spans="1:10" x14ac:dyDescent="0.45">
      <c r="C21" s="92"/>
      <c r="D21" s="92"/>
      <c r="E21" s="92"/>
      <c r="F21" s="92"/>
    </row>
    <row r="22" spans="1:10" x14ac:dyDescent="0.45">
      <c r="A22" s="99" t="s">
        <v>125</v>
      </c>
      <c r="B22" s="92">
        <f>+B15+B8+B9</f>
        <v>14746952.559999999</v>
      </c>
      <c r="C22" s="92">
        <f>+C15+C8+C9</f>
        <v>-2753270.6799999997</v>
      </c>
      <c r="D22" s="92">
        <f>+D15+D8+D9</f>
        <v>22755372.830000002</v>
      </c>
      <c r="E22" s="92">
        <f>+E15+E8+E9</f>
        <v>1183135.1399999999</v>
      </c>
      <c r="F22" s="92">
        <f>+F15+F8+F9</f>
        <v>8870003.3499999996</v>
      </c>
    </row>
    <row r="23" spans="1:10" x14ac:dyDescent="0.45">
      <c r="A23" s="76" t="s">
        <v>126</v>
      </c>
      <c r="B23" s="92">
        <f>+B22*(100-B10)/100</f>
        <v>1474.6952560007544</v>
      </c>
      <c r="C23" s="92">
        <f>+C22*(100-C10)/100</f>
        <v>-1376910.667068</v>
      </c>
      <c r="D23" s="92">
        <f>+D22*(100-D10)/100</f>
        <v>2275.5372830011643</v>
      </c>
      <c r="E23" s="92">
        <f>+E22*(100-E10)/100</f>
        <v>0</v>
      </c>
      <c r="F23" s="92">
        <f>+F22*(100-F10)/100</f>
        <v>4346301.6414999999</v>
      </c>
      <c r="G23" s="105">
        <f>+SUM(B23:F23)</f>
        <v>2973141.2069710018</v>
      </c>
    </row>
    <row r="24" spans="1:10" x14ac:dyDescent="0.45">
      <c r="A24" s="76" t="s">
        <v>127</v>
      </c>
      <c r="C24" s="92"/>
      <c r="D24" s="92"/>
      <c r="E24" s="92"/>
      <c r="F24" s="92">
        <v>-4274821.25</v>
      </c>
      <c r="G24" s="105">
        <f>+SUM(B24:F24)</f>
        <v>-4274821.25</v>
      </c>
    </row>
    <row r="25" spans="1:10" x14ac:dyDescent="0.45">
      <c r="C25" s="92"/>
      <c r="D25" s="92"/>
      <c r="E25" s="92"/>
      <c r="F25" s="92"/>
      <c r="G25" s="105"/>
    </row>
    <row r="26" spans="1:10" x14ac:dyDescent="0.45">
      <c r="C26" s="92"/>
      <c r="D26" s="92"/>
      <c r="E26" s="92"/>
      <c r="F26" s="92"/>
      <c r="G26" s="105"/>
    </row>
    <row r="27" spans="1:10" ht="21.75" thickBot="1" x14ac:dyDescent="0.5">
      <c r="C27" s="92"/>
      <c r="D27" s="92"/>
      <c r="E27" s="92"/>
      <c r="F27" s="92"/>
      <c r="G27" s="106">
        <f>SUM(G23:G26)</f>
        <v>-1301680.0430289982</v>
      </c>
    </row>
    <row r="28" spans="1:10" ht="21.75" thickTop="1" x14ac:dyDescent="0.45">
      <c r="C28" s="77"/>
    </row>
    <row r="29" spans="1:10" x14ac:dyDescent="0.45">
      <c r="A29" s="107" t="s">
        <v>34</v>
      </c>
      <c r="B29" s="77"/>
      <c r="G29" s="72">
        <v>-2135652.63</v>
      </c>
    </row>
    <row r="30" spans="1:10" x14ac:dyDescent="0.45">
      <c r="A30" s="76" t="s">
        <v>101</v>
      </c>
      <c r="B30" s="77"/>
      <c r="G30" s="72">
        <f>+G29-G27</f>
        <v>-833972.5869710017</v>
      </c>
    </row>
    <row r="31" spans="1:10" x14ac:dyDescent="0.45">
      <c r="A31" s="76" t="s">
        <v>106</v>
      </c>
      <c r="B31" s="77"/>
      <c r="C31" s="77">
        <f>23544963.08-13000</f>
        <v>23531963.079999998</v>
      </c>
      <c r="E31" s="77"/>
      <c r="F31" s="77"/>
      <c r="G31" s="77"/>
      <c r="H31" s="108"/>
      <c r="I31" s="77"/>
      <c r="J31" s="77"/>
    </row>
    <row r="32" spans="1:10" x14ac:dyDescent="0.45">
      <c r="A32" s="76" t="s">
        <v>107</v>
      </c>
      <c r="B32" s="77"/>
      <c r="D32" s="77">
        <f>+C31</f>
        <v>23531963.079999998</v>
      </c>
      <c r="G32" s="72">
        <v>78400</v>
      </c>
      <c r="H32" s="94"/>
    </row>
    <row r="33" spans="1:8" x14ac:dyDescent="0.45">
      <c r="G33" s="72">
        <v>-615.72</v>
      </c>
    </row>
    <row r="34" spans="1:8" x14ac:dyDescent="0.45">
      <c r="G34" s="72">
        <v>781963.74</v>
      </c>
    </row>
    <row r="35" spans="1:8" x14ac:dyDescent="0.45">
      <c r="A35" s="76" t="s">
        <v>102</v>
      </c>
      <c r="G35" s="72">
        <f>SUM(G32:G34)</f>
        <v>859748.02</v>
      </c>
    </row>
    <row r="36" spans="1:8" x14ac:dyDescent="0.45">
      <c r="A36" s="76" t="s">
        <v>104</v>
      </c>
      <c r="C36" s="72">
        <v>22681399.34</v>
      </c>
    </row>
    <row r="37" spans="1:8" x14ac:dyDescent="0.45">
      <c r="A37" s="76" t="s">
        <v>105</v>
      </c>
      <c r="D37" s="77">
        <f>+C36</f>
        <v>22681399.34</v>
      </c>
    </row>
    <row r="39" spans="1:8" x14ac:dyDescent="0.45">
      <c r="A39" s="76" t="s">
        <v>120</v>
      </c>
    </row>
    <row r="40" spans="1:8" x14ac:dyDescent="0.45">
      <c r="A40" s="76" t="s">
        <v>121</v>
      </c>
      <c r="C40" s="72">
        <v>1662591.75</v>
      </c>
    </row>
    <row r="41" spans="1:8" x14ac:dyDescent="0.45">
      <c r="A41" s="76" t="s">
        <v>122</v>
      </c>
      <c r="B41" s="77"/>
      <c r="D41" s="77">
        <f>+++++++C40</f>
        <v>1662591.75</v>
      </c>
    </row>
    <row r="42" spans="1:8" x14ac:dyDescent="0.45">
      <c r="B42" s="77"/>
    </row>
    <row r="43" spans="1:8" x14ac:dyDescent="0.45">
      <c r="B43" s="77"/>
    </row>
    <row r="44" spans="1:8" x14ac:dyDescent="0.45">
      <c r="A44" s="107" t="s">
        <v>33</v>
      </c>
      <c r="B44" s="77"/>
    </row>
    <row r="45" spans="1:8" x14ac:dyDescent="0.45">
      <c r="A45" s="76" t="s">
        <v>103</v>
      </c>
      <c r="B45" s="77"/>
      <c r="C45" s="72">
        <f>+G16+G17</f>
        <v>8142782.1798469992</v>
      </c>
    </row>
    <row r="46" spans="1:8" x14ac:dyDescent="0.45">
      <c r="A46" s="76" t="s">
        <v>100</v>
      </c>
      <c r="B46" s="77"/>
    </row>
    <row r="47" spans="1:8" x14ac:dyDescent="0.45">
      <c r="A47" s="76" t="s">
        <v>99</v>
      </c>
      <c r="B47" s="77"/>
      <c r="H47" s="94"/>
    </row>
    <row r="48" spans="1:8" x14ac:dyDescent="0.45">
      <c r="B48" s="77"/>
    </row>
    <row r="49" spans="1:10" x14ac:dyDescent="0.45">
      <c r="B49" s="77"/>
    </row>
    <row r="50" spans="1:10" x14ac:dyDescent="0.45">
      <c r="B50" s="77"/>
    </row>
    <row r="51" spans="1:10" x14ac:dyDescent="0.45">
      <c r="B51" s="77"/>
      <c r="C51" s="77"/>
      <c r="E51" s="77"/>
      <c r="F51" s="77"/>
      <c r="G51" s="77"/>
      <c r="I51" s="77"/>
      <c r="J51" s="77"/>
    </row>
    <row r="52" spans="1:10" x14ac:dyDescent="0.45">
      <c r="B52" s="77"/>
    </row>
    <row r="53" spans="1:10" x14ac:dyDescent="0.45">
      <c r="B53" s="72"/>
    </row>
    <row r="54" spans="1:10" x14ac:dyDescent="0.45">
      <c r="B54" s="77"/>
    </row>
    <row r="55" spans="1:10" x14ac:dyDescent="0.45">
      <c r="B55" s="77"/>
      <c r="C55" s="77"/>
      <c r="E55" s="77"/>
      <c r="F55" s="77"/>
      <c r="G55" s="77"/>
      <c r="J55" s="77"/>
    </row>
    <row r="56" spans="1:10" x14ac:dyDescent="0.45">
      <c r="B56" s="77"/>
      <c r="C56" s="77"/>
      <c r="E56" s="77"/>
      <c r="F56" s="77"/>
      <c r="G56" s="77"/>
      <c r="J56" s="77"/>
    </row>
    <row r="57" spans="1:10" x14ac:dyDescent="0.45">
      <c r="B57" s="77"/>
    </row>
    <row r="58" spans="1:10" x14ac:dyDescent="0.45">
      <c r="A58" s="109"/>
      <c r="B58" s="77"/>
      <c r="H58" s="94"/>
    </row>
    <row r="59" spans="1:10" x14ac:dyDescent="0.45">
      <c r="A59" s="110"/>
      <c r="B59" s="77"/>
    </row>
    <row r="60" spans="1:10" x14ac:dyDescent="0.45">
      <c r="A60" s="110"/>
      <c r="B60" s="77"/>
    </row>
    <row r="61" spans="1:10" x14ac:dyDescent="0.45">
      <c r="A61" s="110"/>
      <c r="B61" s="77"/>
    </row>
    <row r="62" spans="1:10" x14ac:dyDescent="0.45">
      <c r="B62" s="77"/>
    </row>
    <row r="63" spans="1:10" x14ac:dyDescent="0.45">
      <c r="B63" s="111"/>
    </row>
    <row r="64" spans="1:10" x14ac:dyDescent="0.45">
      <c r="B64" s="77"/>
    </row>
    <row r="65" spans="1:10" x14ac:dyDescent="0.45">
      <c r="B65" s="77"/>
      <c r="C65" s="77"/>
      <c r="E65" s="77"/>
      <c r="F65" s="77"/>
      <c r="G65" s="77"/>
      <c r="J65" s="77"/>
    </row>
    <row r="66" spans="1:10" x14ac:dyDescent="0.45">
      <c r="B66" s="77"/>
      <c r="C66" s="77"/>
      <c r="E66" s="77"/>
      <c r="F66" s="77"/>
      <c r="G66" s="77"/>
    </row>
    <row r="67" spans="1:10" x14ac:dyDescent="0.45">
      <c r="B67" s="77"/>
      <c r="C67" s="77"/>
      <c r="E67" s="77"/>
      <c r="F67" s="77"/>
      <c r="G67" s="77"/>
      <c r="J67" s="77"/>
    </row>
    <row r="68" spans="1:10" x14ac:dyDescent="0.45">
      <c r="B68" s="77"/>
      <c r="C68" s="77"/>
      <c r="E68" s="77"/>
      <c r="F68" s="77"/>
      <c r="G68" s="77"/>
      <c r="J68" s="77"/>
    </row>
    <row r="69" spans="1:10" x14ac:dyDescent="0.45">
      <c r="B69" s="77"/>
    </row>
    <row r="70" spans="1:10" x14ac:dyDescent="0.45">
      <c r="B70" s="112"/>
      <c r="C70" s="112"/>
      <c r="D70" s="112"/>
      <c r="E70" s="112"/>
      <c r="F70" s="112"/>
      <c r="G70" s="112"/>
      <c r="H70" s="113"/>
      <c r="I70" s="114"/>
      <c r="J70" s="112"/>
    </row>
    <row r="71" spans="1:10" x14ac:dyDescent="0.45">
      <c r="A71" s="115"/>
      <c r="B71" s="115"/>
    </row>
    <row r="72" spans="1:10" x14ac:dyDescent="0.45">
      <c r="A72" s="116"/>
      <c r="B72" s="116"/>
    </row>
    <row r="73" spans="1:10" x14ac:dyDescent="0.45">
      <c r="A73" s="116"/>
      <c r="B73" s="116"/>
    </row>
    <row r="74" spans="1:10" ht="18" customHeight="1" x14ac:dyDescent="0.45">
      <c r="A74" s="116"/>
      <c r="B74" s="116"/>
    </row>
    <row r="75" spans="1:10" x14ac:dyDescent="0.45">
      <c r="B75" s="77"/>
    </row>
    <row r="76" spans="1:10" x14ac:dyDescent="0.45">
      <c r="B76" s="77"/>
      <c r="E76" s="77"/>
      <c r="F76" s="77"/>
      <c r="H76" s="94"/>
    </row>
    <row r="77" spans="1:10" x14ac:dyDescent="0.45">
      <c r="B77" s="77"/>
      <c r="E77" s="77"/>
      <c r="F77" s="77"/>
    </row>
    <row r="78" spans="1:10" x14ac:dyDescent="0.45">
      <c r="B78" s="77"/>
      <c r="E78" s="77"/>
      <c r="F78" s="77"/>
    </row>
    <row r="79" spans="1:10" x14ac:dyDescent="0.45">
      <c r="B79" s="77"/>
      <c r="E79" s="77"/>
      <c r="F79" s="77"/>
      <c r="H79" s="94"/>
    </row>
    <row r="80" spans="1:10" x14ac:dyDescent="0.45">
      <c r="B80" s="77"/>
      <c r="E80" s="77"/>
      <c r="F80" s="77"/>
    </row>
    <row r="81" spans="2:8" x14ac:dyDescent="0.45">
      <c r="B81" s="77"/>
      <c r="C81" s="77"/>
      <c r="E81" s="77"/>
      <c r="F81" s="77"/>
      <c r="G81" s="77"/>
    </row>
    <row r="82" spans="2:8" x14ac:dyDescent="0.45">
      <c r="B82" s="77"/>
      <c r="E82" s="77"/>
      <c r="F82" s="77"/>
      <c r="G82" s="77"/>
    </row>
    <row r="83" spans="2:8" x14ac:dyDescent="0.45">
      <c r="B83" s="77"/>
      <c r="C83" s="77"/>
      <c r="E83" s="77"/>
      <c r="F83" s="77"/>
    </row>
    <row r="84" spans="2:8" x14ac:dyDescent="0.45">
      <c r="B84" s="77"/>
      <c r="C84" s="77"/>
      <c r="E84" s="77"/>
      <c r="F84" s="77"/>
      <c r="H84" s="94"/>
    </row>
    <row r="85" spans="2:8" x14ac:dyDescent="0.45">
      <c r="B85" s="77"/>
      <c r="C85" s="77"/>
      <c r="E85" s="77"/>
      <c r="F85" s="77"/>
    </row>
    <row r="86" spans="2:8" x14ac:dyDescent="0.45">
      <c r="B86" s="77"/>
      <c r="C86" s="77"/>
      <c r="E86" s="77"/>
      <c r="F86" s="77"/>
    </row>
    <row r="87" spans="2:8" x14ac:dyDescent="0.45">
      <c r="B87" s="77"/>
      <c r="C87" s="77"/>
      <c r="E87" s="77"/>
      <c r="F87" s="77"/>
      <c r="G87" s="77"/>
    </row>
    <row r="88" spans="2:8" x14ac:dyDescent="0.45">
      <c r="B88" s="77"/>
      <c r="C88" s="77"/>
      <c r="E88" s="77"/>
      <c r="F88" s="77"/>
      <c r="G88" s="77"/>
    </row>
    <row r="89" spans="2:8" x14ac:dyDescent="0.45">
      <c r="B89" s="77"/>
      <c r="C89" s="77"/>
      <c r="E89" s="77"/>
      <c r="F89" s="77"/>
      <c r="G89" s="77"/>
    </row>
    <row r="90" spans="2:8" x14ac:dyDescent="0.45">
      <c r="B90" s="77"/>
      <c r="C90" s="77"/>
      <c r="E90" s="77"/>
      <c r="F90" s="77"/>
    </row>
    <row r="91" spans="2:8" x14ac:dyDescent="0.45">
      <c r="B91" s="111"/>
      <c r="C91" s="111"/>
      <c r="D91" s="111"/>
      <c r="E91" s="111"/>
      <c r="F91" s="111"/>
    </row>
    <row r="92" spans="2:8" x14ac:dyDescent="0.45">
      <c r="B92" s="115"/>
      <c r="C92" s="115"/>
      <c r="D92" s="115"/>
      <c r="E92" s="115"/>
      <c r="F92" s="115"/>
      <c r="G92" s="115"/>
    </row>
    <row r="93" spans="2:8" x14ac:dyDescent="0.45">
      <c r="B93" s="111"/>
      <c r="C93" s="111"/>
      <c r="D93" s="111"/>
      <c r="E93" s="111"/>
      <c r="F93" s="111"/>
      <c r="G93" s="111"/>
    </row>
    <row r="94" spans="2:8" x14ac:dyDescent="0.45">
      <c r="B94" s="77"/>
      <c r="C94" s="77"/>
      <c r="E94" s="77"/>
      <c r="F94" s="77"/>
      <c r="G94" s="77"/>
    </row>
    <row r="95" spans="2:8" ht="9.9499999999999993" customHeight="1" x14ac:dyDescent="0.45">
      <c r="B95" s="77"/>
      <c r="C95" s="77"/>
      <c r="E95" s="77"/>
      <c r="F95" s="77"/>
      <c r="G95" s="77"/>
    </row>
    <row r="96" spans="2:8" x14ac:dyDescent="0.45">
      <c r="B96" s="77"/>
    </row>
    <row r="97" spans="2:2" x14ac:dyDescent="0.45">
      <c r="B97" s="77"/>
    </row>
    <row r="98" spans="2:2" x14ac:dyDescent="0.45">
      <c r="B98" s="77"/>
    </row>
    <row r="99" spans="2:2" x14ac:dyDescent="0.45">
      <c r="B99" s="77"/>
    </row>
    <row r="100" spans="2:2" x14ac:dyDescent="0.45">
      <c r="B100" s="77"/>
    </row>
    <row r="101" spans="2:2" x14ac:dyDescent="0.45">
      <c r="B101" s="77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85546875" style="3" customWidth="1"/>
    <col min="3" max="3" width="36.85546875" style="3" customWidth="1"/>
    <col min="4" max="5" width="12.85546875" style="5" customWidth="1"/>
    <col min="6" max="6" width="12.85546875" style="1" customWidth="1"/>
    <col min="7" max="7" width="12.85546875" style="2" customWidth="1"/>
    <col min="8" max="10" width="12.85546875" style="1" customWidth="1"/>
    <col min="11" max="11" width="15.140625" style="43" customWidth="1"/>
    <col min="12" max="13" width="12.85546875" style="1" customWidth="1"/>
    <col min="14" max="14" width="2.140625" style="3" customWidth="1"/>
    <col min="15" max="16" width="12.85546875" style="3" customWidth="1"/>
    <col min="17" max="16384" width="9.140625" style="3"/>
  </cols>
  <sheetData>
    <row r="1" spans="1:15" x14ac:dyDescent="0.4">
      <c r="A1" s="36" t="s">
        <v>52</v>
      </c>
      <c r="B1" s="19"/>
      <c r="C1" s="19"/>
      <c r="D1" s="19"/>
      <c r="E1" s="19"/>
      <c r="G1" s="33"/>
      <c r="H1" s="34"/>
      <c r="I1" s="34"/>
    </row>
    <row r="2" spans="1:15" ht="21.75" customHeight="1" x14ac:dyDescent="0.4">
      <c r="A2" s="36" t="s">
        <v>70</v>
      </c>
      <c r="B2" s="19"/>
      <c r="C2" s="19"/>
      <c r="D2" s="19"/>
      <c r="E2" s="19"/>
    </row>
    <row r="3" spans="1:15" ht="21.75" customHeight="1" x14ac:dyDescent="0.4">
      <c r="A3" s="31" t="s">
        <v>69</v>
      </c>
      <c r="B3" s="19"/>
      <c r="C3" s="19"/>
      <c r="D3" s="19"/>
      <c r="E3" s="19"/>
      <c r="K3" s="303" t="s">
        <v>71</v>
      </c>
      <c r="L3" s="303"/>
    </row>
    <row r="4" spans="1:15" s="28" customFormat="1" ht="18" customHeight="1" x14ac:dyDescent="0.4">
      <c r="D4" s="37" t="s">
        <v>62</v>
      </c>
      <c r="E4" s="37" t="s">
        <v>63</v>
      </c>
      <c r="F4" s="39" t="s">
        <v>64</v>
      </c>
      <c r="G4" s="40" t="s">
        <v>65</v>
      </c>
      <c r="H4" s="39" t="s">
        <v>66</v>
      </c>
      <c r="I4" s="39" t="s">
        <v>67</v>
      </c>
      <c r="J4" s="39" t="s">
        <v>27</v>
      </c>
      <c r="K4" s="44" t="s">
        <v>72</v>
      </c>
      <c r="L4" s="41" t="s">
        <v>73</v>
      </c>
      <c r="M4" s="38" t="s">
        <v>33</v>
      </c>
    </row>
    <row r="5" spans="1:15" x14ac:dyDescent="0.4">
      <c r="A5" s="7" t="s">
        <v>8</v>
      </c>
      <c r="B5" s="7"/>
      <c r="C5" s="7"/>
      <c r="D5" s="9"/>
      <c r="E5" s="9"/>
    </row>
    <row r="6" spans="1:15" x14ac:dyDescent="0.4">
      <c r="A6" s="7"/>
      <c r="B6" s="7" t="s">
        <v>17</v>
      </c>
      <c r="C6" s="7"/>
      <c r="D6" s="5">
        <v>316767129.02999997</v>
      </c>
      <c r="E6" s="9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7"/>
      <c r="B7" s="7" t="s">
        <v>53</v>
      </c>
      <c r="C7" s="7"/>
      <c r="D7" s="5">
        <v>40216527.100000001</v>
      </c>
      <c r="E7" s="9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7"/>
      <c r="B8" s="7" t="s">
        <v>74</v>
      </c>
      <c r="C8" s="7"/>
      <c r="D8" s="9">
        <v>6241052.1100000003</v>
      </c>
      <c r="E8" s="9"/>
      <c r="H8" s="1">
        <v>0</v>
      </c>
      <c r="J8" s="1">
        <f t="shared" si="0"/>
        <v>6241052.1100000003</v>
      </c>
      <c r="K8" s="47" t="s">
        <v>84</v>
      </c>
      <c r="L8" s="1">
        <v>-4636052.1100000003</v>
      </c>
      <c r="M8" s="1">
        <f t="shared" si="1"/>
        <v>1605000</v>
      </c>
    </row>
    <row r="9" spans="1:15" x14ac:dyDescent="0.4">
      <c r="A9" s="7"/>
      <c r="B9" s="7" t="s">
        <v>75</v>
      </c>
      <c r="C9" s="7"/>
      <c r="D9" s="9">
        <v>5331982.99</v>
      </c>
      <c r="E9" s="9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7"/>
      <c r="B10" s="7" t="s">
        <v>113</v>
      </c>
      <c r="C10" s="7"/>
      <c r="D10" s="9"/>
      <c r="E10" s="9"/>
      <c r="H10" s="51">
        <f>4274821.25+348965</f>
        <v>4623786.25</v>
      </c>
      <c r="J10" s="1">
        <f t="shared" si="0"/>
        <v>4623786.25</v>
      </c>
      <c r="K10" s="43" t="s">
        <v>130</v>
      </c>
      <c r="L10" s="1">
        <v>-4274821.25</v>
      </c>
      <c r="M10" s="1">
        <f t="shared" si="1"/>
        <v>348965</v>
      </c>
    </row>
    <row r="11" spans="1:15" x14ac:dyDescent="0.4">
      <c r="A11" s="7"/>
      <c r="B11" s="7" t="s">
        <v>76</v>
      </c>
      <c r="C11" s="7"/>
      <c r="D11" s="9">
        <v>90000</v>
      </c>
      <c r="E11" s="9"/>
      <c r="H11" s="1">
        <v>0</v>
      </c>
      <c r="J11" s="1">
        <f t="shared" si="0"/>
        <v>90000</v>
      </c>
      <c r="K11" s="47" t="s">
        <v>85</v>
      </c>
      <c r="L11" s="1">
        <v>-90000</v>
      </c>
      <c r="M11" s="1">
        <f t="shared" si="1"/>
        <v>0</v>
      </c>
    </row>
    <row r="12" spans="1:15" x14ac:dyDescent="0.4">
      <c r="A12" s="7"/>
      <c r="B12" s="7" t="s">
        <v>77</v>
      </c>
      <c r="C12" s="7"/>
      <c r="D12" s="9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7"/>
      <c r="B13" s="7" t="s">
        <v>32</v>
      </c>
      <c r="C13" s="7"/>
      <c r="D13" s="9">
        <v>0</v>
      </c>
      <c r="E13" s="9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7"/>
      <c r="B14" s="7" t="s">
        <v>44</v>
      </c>
      <c r="C14" s="7"/>
      <c r="D14" s="9"/>
      <c r="E14" s="9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7"/>
      <c r="B15" s="7"/>
      <c r="C15" s="7" t="s">
        <v>1</v>
      </c>
      <c r="D15" s="9">
        <v>1345040.03</v>
      </c>
      <c r="E15" s="9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7"/>
      <c r="B16" s="7"/>
      <c r="C16" s="7" t="s">
        <v>28</v>
      </c>
      <c r="D16" s="9">
        <v>485562.25</v>
      </c>
      <c r="E16" s="9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7"/>
      <c r="B17" s="7"/>
      <c r="C17" s="7" t="s">
        <v>10</v>
      </c>
      <c r="D17" s="9"/>
      <c r="E17" s="9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7"/>
      <c r="B18" s="7"/>
      <c r="C18" s="7" t="s">
        <v>43</v>
      </c>
      <c r="D18" s="9">
        <f>529964.28-D16</f>
        <v>44402.030000000028</v>
      </c>
      <c r="E18" s="9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64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7"/>
      <c r="B19" s="7"/>
      <c r="C19" s="7" t="s">
        <v>18</v>
      </c>
      <c r="D19" s="12">
        <f t="shared" ref="D19:J19" si="2">SUM(D6:D18)</f>
        <v>370671695.53999996</v>
      </c>
      <c r="E19" s="12">
        <f t="shared" si="2"/>
        <v>19281423.650000002</v>
      </c>
      <c r="F19" s="12">
        <f t="shared" si="2"/>
        <v>109686.79999999999</v>
      </c>
      <c r="G19" s="12">
        <f t="shared" si="2"/>
        <v>72381.78</v>
      </c>
      <c r="H19" s="12">
        <f t="shared" si="2"/>
        <v>8758347.5</v>
      </c>
      <c r="I19" s="12">
        <f t="shared" si="2"/>
        <v>1144397.81</v>
      </c>
      <c r="J19" s="12">
        <f t="shared" si="2"/>
        <v>400037933.07999998</v>
      </c>
      <c r="K19" s="45"/>
      <c r="L19" s="13"/>
      <c r="M19" s="12">
        <f>SUM(M6:M18)</f>
        <v>391037675.44</v>
      </c>
    </row>
    <row r="20" spans="1:15" x14ac:dyDescent="0.4">
      <c r="A20" s="7" t="s">
        <v>45</v>
      </c>
      <c r="B20" s="7"/>
      <c r="C20" s="7"/>
      <c r="D20" s="9"/>
      <c r="E20" s="9"/>
      <c r="K20" s="47"/>
    </row>
    <row r="21" spans="1:15" x14ac:dyDescent="0.4">
      <c r="A21" s="7"/>
      <c r="B21" s="7" t="s">
        <v>54</v>
      </c>
      <c r="C21" s="7"/>
      <c r="D21" s="35">
        <v>56419678</v>
      </c>
      <c r="E21" s="9"/>
      <c r="H21" s="1">
        <v>0</v>
      </c>
      <c r="J21" s="1">
        <f t="shared" ref="J21:J27" si="3">+I21+H21+G21+F21+E21+D21</f>
        <v>56419678</v>
      </c>
      <c r="K21" s="47" t="s">
        <v>87</v>
      </c>
      <c r="L21" s="1">
        <v>-56419678</v>
      </c>
      <c r="M21" s="1">
        <f>+J21+L21</f>
        <v>0</v>
      </c>
    </row>
    <row r="22" spans="1:15" x14ac:dyDescent="0.4">
      <c r="A22" s="7"/>
      <c r="B22" s="7" t="s">
        <v>112</v>
      </c>
      <c r="C22" s="7"/>
      <c r="D22" s="35">
        <v>-22681399.34</v>
      </c>
      <c r="E22" s="9"/>
      <c r="J22" s="1">
        <f t="shared" si="3"/>
        <v>-22681399.34</v>
      </c>
      <c r="K22" s="47" t="s">
        <v>109</v>
      </c>
      <c r="L22" s="1">
        <v>22681399.34</v>
      </c>
      <c r="M22" s="1">
        <f>+J22+L22</f>
        <v>0</v>
      </c>
    </row>
    <row r="23" spans="1:15" x14ac:dyDescent="0.4">
      <c r="A23" s="7"/>
      <c r="B23" s="7" t="s">
        <v>55</v>
      </c>
      <c r="C23" s="7"/>
      <c r="D23" s="9">
        <v>5315259</v>
      </c>
      <c r="E23" s="9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7"/>
      <c r="B24" s="7" t="s">
        <v>81</v>
      </c>
      <c r="C24" s="7"/>
      <c r="D24" s="5">
        <v>4125330.22</v>
      </c>
      <c r="E24" s="9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7"/>
      <c r="B25" s="7" t="s">
        <v>46</v>
      </c>
      <c r="C25" s="7"/>
      <c r="D25" s="9"/>
      <c r="E25" s="9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7"/>
      <c r="B26" s="7"/>
      <c r="C26" s="7" t="s">
        <v>31</v>
      </c>
      <c r="D26" s="9">
        <f>1301692.81+0.01</f>
        <v>1301692.82</v>
      </c>
      <c r="E26" s="9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7"/>
      <c r="B27" s="7"/>
      <c r="C27" s="7" t="s">
        <v>80</v>
      </c>
      <c r="D27" s="5">
        <v>1494433.31</v>
      </c>
      <c r="E27" s="9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7"/>
      <c r="B28" s="7"/>
      <c r="C28" s="7" t="s">
        <v>19</v>
      </c>
      <c r="D28" s="12">
        <f t="shared" ref="D28:J28" si="4">SUM(D21:D27)</f>
        <v>45974994.009999998</v>
      </c>
      <c r="E28" s="12">
        <f t="shared" si="4"/>
        <v>456490.33999999997</v>
      </c>
      <c r="F28" s="12">
        <f t="shared" si="4"/>
        <v>137281.69</v>
      </c>
      <c r="G28" s="12">
        <f t="shared" si="4"/>
        <v>24900161.140000001</v>
      </c>
      <c r="H28" s="12">
        <f t="shared" si="4"/>
        <v>0</v>
      </c>
      <c r="I28" s="12">
        <f t="shared" si="4"/>
        <v>0</v>
      </c>
      <c r="J28" s="12">
        <f t="shared" si="4"/>
        <v>71468927.179999992</v>
      </c>
      <c r="M28" s="12">
        <f>SUM(M21:M27)</f>
        <v>37730648.520000003</v>
      </c>
    </row>
    <row r="29" spans="1:15" ht="18.75" thickBot="1" x14ac:dyDescent="0.45">
      <c r="A29" s="7" t="s">
        <v>47</v>
      </c>
      <c r="B29" s="7"/>
      <c r="C29" s="7"/>
      <c r="D29" s="14">
        <f t="shared" ref="D29:J29" si="5">+D28+D19</f>
        <v>416646689.54999995</v>
      </c>
      <c r="E29" s="14">
        <f t="shared" si="5"/>
        <v>19737913.990000002</v>
      </c>
      <c r="F29" s="14">
        <f t="shared" si="5"/>
        <v>246968.49</v>
      </c>
      <c r="G29" s="14">
        <f t="shared" si="5"/>
        <v>24972542.920000002</v>
      </c>
      <c r="H29" s="14">
        <f t="shared" si="5"/>
        <v>8758347.5</v>
      </c>
      <c r="I29" s="14">
        <f t="shared" si="5"/>
        <v>1144397.81</v>
      </c>
      <c r="J29" s="14">
        <f t="shared" si="5"/>
        <v>471506860.25999999</v>
      </c>
      <c r="M29" s="14">
        <f>+M28+M19</f>
        <v>428768323.95999998</v>
      </c>
    </row>
    <row r="30" spans="1:15" ht="18.75" thickTop="1" x14ac:dyDescent="0.4">
      <c r="A30" s="7" t="s">
        <v>48</v>
      </c>
      <c r="B30" s="7"/>
      <c r="C30" s="7"/>
      <c r="D30" s="9"/>
      <c r="E30" s="9"/>
    </row>
    <row r="31" spans="1:15" x14ac:dyDescent="0.4">
      <c r="A31" s="7"/>
      <c r="B31" s="7" t="s">
        <v>78</v>
      </c>
      <c r="C31" s="7"/>
      <c r="D31" s="9"/>
      <c r="E31" s="9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7"/>
      <c r="B32" s="7" t="s">
        <v>82</v>
      </c>
      <c r="C32" s="7"/>
      <c r="D32" s="9"/>
      <c r="E32" s="57">
        <v>-85088.98</v>
      </c>
      <c r="F32" s="51">
        <v>-2456075.3199999998</v>
      </c>
      <c r="G32" s="58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7"/>
      <c r="B33" s="7" t="s">
        <v>83</v>
      </c>
      <c r="C33" s="7"/>
      <c r="D33" s="9"/>
      <c r="E33" s="9"/>
      <c r="J33" s="1">
        <f t="shared" si="6"/>
        <v>0</v>
      </c>
      <c r="M33" s="1">
        <f t="shared" si="1"/>
        <v>0</v>
      </c>
    </row>
    <row r="34" spans="1:15" x14ac:dyDescent="0.4">
      <c r="A34" s="7"/>
      <c r="B34" s="7" t="s">
        <v>49</v>
      </c>
      <c r="C34" s="7"/>
      <c r="D34" s="9"/>
      <c r="E34" s="9"/>
      <c r="J34" s="1">
        <f t="shared" si="6"/>
        <v>0</v>
      </c>
      <c r="M34" s="1">
        <f t="shared" si="1"/>
        <v>0</v>
      </c>
    </row>
    <row r="35" spans="1:15" x14ac:dyDescent="0.4">
      <c r="A35" s="7"/>
      <c r="B35" s="7"/>
      <c r="C35" s="7" t="s">
        <v>88</v>
      </c>
      <c r="D35" s="9">
        <v>-7229144</v>
      </c>
      <c r="E35" s="9"/>
      <c r="J35" s="1">
        <f t="shared" si="6"/>
        <v>-7229144</v>
      </c>
      <c r="M35" s="1">
        <f t="shared" si="1"/>
        <v>-7229144</v>
      </c>
    </row>
    <row r="36" spans="1:15" x14ac:dyDescent="0.4">
      <c r="A36" s="7"/>
      <c r="B36" s="7"/>
      <c r="C36" s="7" t="s">
        <v>11</v>
      </c>
      <c r="D36" s="9">
        <v>-2880868.96</v>
      </c>
      <c r="E36" s="9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47" t="s">
        <v>85</v>
      </c>
      <c r="L36" s="1">
        <v>90000</v>
      </c>
      <c r="M36" s="1">
        <f t="shared" si="1"/>
        <v>-4556657.59</v>
      </c>
    </row>
    <row r="37" spans="1:15" x14ac:dyDescent="0.4">
      <c r="A37" s="7"/>
      <c r="B37" s="7"/>
      <c r="C37" s="7" t="s">
        <v>26</v>
      </c>
      <c r="D37" s="9"/>
      <c r="E37" s="9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7"/>
      <c r="B38" s="7"/>
      <c r="C38" s="7" t="s">
        <v>12</v>
      </c>
      <c r="D38" s="9">
        <f>-13204842.35-0.01</f>
        <v>-13204842.359999999</v>
      </c>
      <c r="E38" s="9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7"/>
      <c r="B39" s="7"/>
      <c r="C39" s="7" t="s">
        <v>43</v>
      </c>
      <c r="D39" s="5">
        <v>-5637669.7599999998</v>
      </c>
      <c r="E39" s="9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7"/>
      <c r="B40" s="7"/>
      <c r="C40" s="7" t="s">
        <v>20</v>
      </c>
      <c r="D40" s="12">
        <f>SUM(D31:D39)</f>
        <v>-28952525.079999998</v>
      </c>
      <c r="E40" s="12">
        <f>SUM(E31:E39)</f>
        <v>-5692798.9299999997</v>
      </c>
      <c r="F40" s="12">
        <f t="shared" ref="F40:M40" si="7">SUM(F31:F39)</f>
        <v>-3000239.17</v>
      </c>
      <c r="G40" s="12">
        <f t="shared" si="7"/>
        <v>-2217170.09</v>
      </c>
      <c r="H40" s="12">
        <f t="shared" si="7"/>
        <v>0</v>
      </c>
      <c r="I40" s="12">
        <f t="shared" si="7"/>
        <v>0</v>
      </c>
      <c r="J40" s="12">
        <f t="shared" si="7"/>
        <v>-39862733.270000003</v>
      </c>
      <c r="L40" s="13"/>
      <c r="M40" s="12">
        <f t="shared" si="7"/>
        <v>-35136681.159999996</v>
      </c>
    </row>
    <row r="41" spans="1:15" x14ac:dyDescent="0.4">
      <c r="A41" s="7" t="s">
        <v>50</v>
      </c>
      <c r="B41" s="7"/>
      <c r="C41" s="7"/>
      <c r="D41" s="9"/>
      <c r="E41" s="9"/>
    </row>
    <row r="42" spans="1:15" x14ac:dyDescent="0.4">
      <c r="A42" s="7"/>
      <c r="B42" s="7" t="s">
        <v>0</v>
      </c>
      <c r="C42" s="7"/>
      <c r="D42" s="9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7"/>
      <c r="B43" s="7"/>
      <c r="C43" s="7" t="s">
        <v>43</v>
      </c>
      <c r="D43" s="35">
        <v>-1662591.75</v>
      </c>
      <c r="E43" s="9"/>
      <c r="H43" s="1">
        <v>0</v>
      </c>
      <c r="J43" s="1">
        <f>+I43+H43+G43+F43+E43+D43</f>
        <v>-1662591.75</v>
      </c>
      <c r="K43" s="47" t="s">
        <v>110</v>
      </c>
      <c r="L43" s="1">
        <v>1662591.75</v>
      </c>
      <c r="M43" s="51">
        <f t="shared" si="1"/>
        <v>0</v>
      </c>
    </row>
    <row r="44" spans="1:15" x14ac:dyDescent="0.4">
      <c r="A44" s="7"/>
      <c r="B44" s="7"/>
      <c r="C44" s="7" t="s">
        <v>21</v>
      </c>
      <c r="D44" s="12">
        <f t="shared" ref="D44:J44" si="8">SUM(D42:D43)</f>
        <v>-1662591.75</v>
      </c>
      <c r="E44" s="12">
        <f t="shared" si="8"/>
        <v>0</v>
      </c>
      <c r="F44" s="12">
        <f t="shared" si="8"/>
        <v>0</v>
      </c>
      <c r="G44" s="12">
        <f t="shared" si="8"/>
        <v>0</v>
      </c>
      <c r="H44" s="12">
        <f t="shared" si="8"/>
        <v>0</v>
      </c>
      <c r="I44" s="12">
        <f t="shared" si="8"/>
        <v>0</v>
      </c>
      <c r="J44" s="12">
        <f t="shared" si="8"/>
        <v>-1662591.75</v>
      </c>
      <c r="M44" s="12">
        <f>SUM(M42:M43)</f>
        <v>0</v>
      </c>
    </row>
    <row r="45" spans="1:15" ht="18.75" thickBot="1" x14ac:dyDescent="0.45">
      <c r="A45" s="7"/>
      <c r="B45" s="7"/>
      <c r="C45" s="7" t="s">
        <v>22</v>
      </c>
      <c r="D45" s="14">
        <f t="shared" ref="D45:J45" si="9">+D44+D40</f>
        <v>-30615116.829999998</v>
      </c>
      <c r="E45" s="14">
        <f t="shared" si="9"/>
        <v>-5692798.9299999997</v>
      </c>
      <c r="F45" s="14">
        <f t="shared" si="9"/>
        <v>-3000239.17</v>
      </c>
      <c r="G45" s="14">
        <f t="shared" si="9"/>
        <v>-2217170.09</v>
      </c>
      <c r="H45" s="14">
        <f t="shared" si="9"/>
        <v>0</v>
      </c>
      <c r="I45" s="14">
        <f t="shared" si="9"/>
        <v>0</v>
      </c>
      <c r="J45" s="14">
        <f t="shared" si="9"/>
        <v>-41525325.020000003</v>
      </c>
      <c r="M45" s="14">
        <f>+M44+M40</f>
        <v>-35136681.159999996</v>
      </c>
    </row>
    <row r="46" spans="1:15" ht="18.75" thickTop="1" x14ac:dyDescent="0.4">
      <c r="A46" s="7" t="s">
        <v>51</v>
      </c>
      <c r="B46" s="7"/>
      <c r="C46" s="7"/>
      <c r="D46" s="9"/>
      <c r="E46" s="9"/>
    </row>
    <row r="47" spans="1:15" x14ac:dyDescent="0.4">
      <c r="A47" s="7"/>
      <c r="B47" s="7" t="s">
        <v>68</v>
      </c>
      <c r="C47" s="29"/>
      <c r="D47" s="9">
        <v>-362267781.5</v>
      </c>
      <c r="E47" s="9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47" t="s">
        <v>87</v>
      </c>
      <c r="L47" s="1">
        <v>56419678</v>
      </c>
      <c r="M47" s="1">
        <f>+L47+J47+L48</f>
        <v>-362267781.5</v>
      </c>
    </row>
    <row r="48" spans="1:15" x14ac:dyDescent="0.4">
      <c r="A48" s="7"/>
      <c r="B48" s="7" t="s">
        <v>23</v>
      </c>
      <c r="C48" s="27"/>
      <c r="D48" s="9"/>
      <c r="E48" s="9"/>
      <c r="J48" s="1">
        <f t="shared" si="10"/>
        <v>0</v>
      </c>
      <c r="K48" s="47" t="s">
        <v>111</v>
      </c>
      <c r="L48" s="1">
        <f>425+5001000+4294+4326700+1179903</f>
        <v>10512322</v>
      </c>
    </row>
    <row r="49" spans="1:16" x14ac:dyDescent="0.4">
      <c r="A49" s="7"/>
      <c r="B49" s="7" t="s">
        <v>56</v>
      </c>
      <c r="C49" s="27"/>
      <c r="D49" s="9">
        <f>-28397546.2+67118444.17</f>
        <v>38720897.969999999</v>
      </c>
      <c r="E49" s="9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7"/>
      <c r="B50" s="7" t="s">
        <v>57</v>
      </c>
      <c r="C50" s="27"/>
      <c r="D50" s="9"/>
      <c r="E50" s="9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7"/>
      <c r="B51" s="7" t="s">
        <v>108</v>
      </c>
      <c r="C51" s="27"/>
      <c r="D51" s="35">
        <f>-22681399.34+23463363.08</f>
        <v>781963.73999999836</v>
      </c>
      <c r="E51" s="9"/>
      <c r="J51" s="1">
        <f t="shared" si="10"/>
        <v>781963.73999999836</v>
      </c>
      <c r="K51" s="54" t="s">
        <v>109</v>
      </c>
      <c r="L51" s="53">
        <f>-1250375-21431024.34</f>
        <v>-22681399.34</v>
      </c>
      <c r="M51" s="52">
        <f>+J51+L51+L52+L53</f>
        <v>0</v>
      </c>
    </row>
    <row r="52" spans="1:16" x14ac:dyDescent="0.4">
      <c r="A52" s="7"/>
      <c r="B52" s="7"/>
      <c r="C52" s="27"/>
      <c r="D52" s="9"/>
      <c r="E52" s="9"/>
      <c r="K52" s="59" t="s">
        <v>110</v>
      </c>
      <c r="L52" s="60"/>
    </row>
    <row r="53" spans="1:16" x14ac:dyDescent="0.4">
      <c r="A53" s="7"/>
      <c r="B53" s="7"/>
      <c r="C53" s="27"/>
      <c r="D53" s="9"/>
      <c r="E53" s="9"/>
      <c r="K53" s="55" t="s">
        <v>114</v>
      </c>
      <c r="L53" s="56">
        <v>21899435.600000001</v>
      </c>
    </row>
    <row r="54" spans="1:16" x14ac:dyDescent="0.4">
      <c r="A54" s="7"/>
      <c r="B54" s="7" t="s">
        <v>58</v>
      </c>
      <c r="C54" s="7"/>
      <c r="D54" s="9"/>
      <c r="E54" s="9"/>
      <c r="J54" s="1">
        <f t="shared" si="10"/>
        <v>0</v>
      </c>
      <c r="M54" s="1">
        <f t="shared" si="1"/>
        <v>0</v>
      </c>
    </row>
    <row r="55" spans="1:16" x14ac:dyDescent="0.4">
      <c r="A55" s="7"/>
      <c r="B55" s="7"/>
      <c r="C55" s="7" t="s">
        <v>35</v>
      </c>
      <c r="D55" s="10">
        <v>-2962180.66</v>
      </c>
      <c r="E55" s="10"/>
      <c r="J55" s="1">
        <f t="shared" si="10"/>
        <v>-2962180.66</v>
      </c>
      <c r="M55" s="1">
        <f t="shared" si="1"/>
        <v>-2962180.66</v>
      </c>
    </row>
    <row r="56" spans="1:16" x14ac:dyDescent="0.4">
      <c r="A56" s="7"/>
      <c r="B56" s="7"/>
      <c r="C56" s="7" t="s">
        <v>116</v>
      </c>
      <c r="D56" s="65">
        <f>+D89</f>
        <v>-4023039.7100000009</v>
      </c>
      <c r="E56" s="10">
        <f>+E89</f>
        <v>-9262083.7899999991</v>
      </c>
      <c r="F56" s="10">
        <f>+F89</f>
        <v>1090678.93</v>
      </c>
      <c r="G56" s="10">
        <f>+G89</f>
        <v>1566605.83</v>
      </c>
      <c r="H56" s="10">
        <f>H89</f>
        <v>-40003.350000000006</v>
      </c>
      <c r="I56" s="10">
        <f>+I89</f>
        <v>-271135.14</v>
      </c>
      <c r="J56" s="52">
        <f t="shared" si="10"/>
        <v>-10938977.23</v>
      </c>
      <c r="K56" s="43" t="s">
        <v>124</v>
      </c>
      <c r="L56" s="1">
        <f>+L89</f>
        <v>-525007.16</v>
      </c>
      <c r="M56" s="68">
        <f>+L56+J56</f>
        <v>-11463984.390000001</v>
      </c>
    </row>
    <row r="57" spans="1:16" x14ac:dyDescent="0.4">
      <c r="A57" s="7"/>
      <c r="B57" s="7"/>
      <c r="C57" s="7"/>
      <c r="D57" s="10"/>
      <c r="E57" s="10"/>
      <c r="F57" s="10"/>
      <c r="G57" s="10"/>
      <c r="H57" s="10"/>
      <c r="I57" s="48"/>
      <c r="K57" s="54" t="s">
        <v>114</v>
      </c>
      <c r="L57" s="49">
        <f>-(+E58+F58+G58+H58+I58)</f>
        <v>-29747581.820000004</v>
      </c>
    </row>
    <row r="58" spans="1:16" x14ac:dyDescent="0.4">
      <c r="A58" s="7"/>
      <c r="B58" s="7"/>
      <c r="C58" s="7" t="s">
        <v>115</v>
      </c>
      <c r="D58" s="66">
        <v>-56281432.560000002</v>
      </c>
      <c r="E58" s="17">
        <f>-533031.27</f>
        <v>-533031.27</v>
      </c>
      <c r="F58" s="38">
        <f>11662591.75</f>
        <v>11662591.75</v>
      </c>
      <c r="G58" s="42">
        <f>20184627.17-G56</f>
        <v>18618021.340000004</v>
      </c>
      <c r="H58" s="38">
        <v>0</v>
      </c>
      <c r="I58" s="38">
        <v>0</v>
      </c>
      <c r="J58" s="52">
        <f t="shared" si="10"/>
        <v>-26533850.739999998</v>
      </c>
      <c r="L58" s="22"/>
      <c r="M58" s="67">
        <f>+L58+J58+L57</f>
        <v>-56281432.560000002</v>
      </c>
    </row>
    <row r="59" spans="1:16" x14ac:dyDescent="0.4">
      <c r="A59" s="7"/>
      <c r="B59" s="7"/>
      <c r="C59" s="7" t="s">
        <v>36</v>
      </c>
      <c r="D59" s="9">
        <f>SUM(D47:D58)</f>
        <v>-386031572.71999997</v>
      </c>
      <c r="E59" s="9">
        <f t="shared" ref="E59:J59" si="11">SUM(E47:E58)</f>
        <v>-14045115.059999999</v>
      </c>
      <c r="F59" s="9">
        <f t="shared" si="11"/>
        <v>2753270.6799999997</v>
      </c>
      <c r="G59" s="9">
        <f t="shared" si="11"/>
        <v>-22755372.829999998</v>
      </c>
      <c r="H59" s="9">
        <f t="shared" si="11"/>
        <v>-8758347.5</v>
      </c>
      <c r="I59" s="9">
        <f t="shared" si="11"/>
        <v>-1144397.81</v>
      </c>
      <c r="J59" s="9">
        <f t="shared" si="11"/>
        <v>-429981535.24000001</v>
      </c>
      <c r="M59" s="9">
        <f>SUM(M47:M58)</f>
        <v>-394104087.95999998</v>
      </c>
    </row>
    <row r="60" spans="1:16" x14ac:dyDescent="0.4">
      <c r="A60" s="7"/>
      <c r="B60" s="7" t="s">
        <v>2</v>
      </c>
      <c r="C60" s="7"/>
      <c r="D60" s="13"/>
      <c r="E60" s="13"/>
      <c r="F60" s="13"/>
      <c r="G60" s="13"/>
      <c r="H60" s="13"/>
      <c r="I60" s="13"/>
      <c r="J60" s="13"/>
      <c r="K60" s="47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7"/>
      <c r="B61" s="7"/>
      <c r="C61" s="7"/>
      <c r="D61" s="17"/>
      <c r="E61" s="17"/>
      <c r="F61" s="17"/>
      <c r="G61" s="17"/>
      <c r="H61" s="17"/>
      <c r="I61" s="17"/>
      <c r="J61" s="17"/>
      <c r="K61" s="59" t="s">
        <v>117</v>
      </c>
      <c r="L61" s="1">
        <v>7848146.2199999997</v>
      </c>
    </row>
    <row r="62" spans="1:16" x14ac:dyDescent="0.4">
      <c r="A62" s="7"/>
      <c r="B62" s="7"/>
      <c r="C62" s="7"/>
      <c r="D62" s="13"/>
      <c r="E62" s="13"/>
      <c r="F62" s="13"/>
      <c r="G62" s="13"/>
      <c r="H62" s="13"/>
      <c r="I62" s="13"/>
      <c r="J62" s="13"/>
      <c r="K62" s="47" t="str">
        <f>+K43</f>
        <v>5)AJE ประมาณการชาดทุน</v>
      </c>
      <c r="L62" s="1">
        <f>-L43</f>
        <v>-1662591.75</v>
      </c>
    </row>
    <row r="63" spans="1:16" x14ac:dyDescent="0.4">
      <c r="A63" s="7"/>
      <c r="B63" s="7"/>
      <c r="C63" s="7"/>
      <c r="D63" s="13"/>
      <c r="E63" s="13"/>
      <c r="F63" s="13"/>
      <c r="G63" s="13"/>
      <c r="H63" s="13"/>
      <c r="I63" s="13"/>
      <c r="J63" s="13"/>
      <c r="K63" s="43" t="s">
        <v>130</v>
      </c>
      <c r="L63" s="1">
        <f>-L10</f>
        <v>4274821.25</v>
      </c>
    </row>
    <row r="64" spans="1:16" x14ac:dyDescent="0.4">
      <c r="A64" s="7"/>
      <c r="B64" s="7"/>
      <c r="C64" s="7"/>
      <c r="D64" s="13"/>
      <c r="E64" s="13"/>
      <c r="F64" s="13"/>
      <c r="G64" s="13"/>
      <c r="H64" s="13"/>
      <c r="I64" s="13"/>
      <c r="J64" s="13"/>
      <c r="K64" s="59"/>
      <c r="L64" s="1">
        <f>-L18</f>
        <v>-615.72</v>
      </c>
    </row>
    <row r="65" spans="1:15" x14ac:dyDescent="0.4">
      <c r="A65" s="7"/>
      <c r="B65" s="7"/>
      <c r="C65" s="7" t="s">
        <v>24</v>
      </c>
      <c r="D65" s="9">
        <f t="shared" ref="D65:J65" si="12">+D60+D59</f>
        <v>-386031572.71999997</v>
      </c>
      <c r="E65" s="9">
        <f t="shared" si="12"/>
        <v>-14045115.059999999</v>
      </c>
      <c r="F65" s="9">
        <f t="shared" si="12"/>
        <v>2753270.6799999997</v>
      </c>
      <c r="G65" s="9">
        <f t="shared" si="12"/>
        <v>-22755372.829999998</v>
      </c>
      <c r="H65" s="9">
        <f t="shared" si="12"/>
        <v>-8758347.5</v>
      </c>
      <c r="I65" s="9">
        <f t="shared" si="12"/>
        <v>-1144397.81</v>
      </c>
      <c r="J65" s="9">
        <f t="shared" si="12"/>
        <v>-429981535.24000001</v>
      </c>
      <c r="K65" s="50" t="s">
        <v>119</v>
      </c>
      <c r="L65" s="1">
        <f>-L88</f>
        <v>525007.16</v>
      </c>
      <c r="M65" s="9">
        <f>+M60+M59</f>
        <v>-393631642.79999995</v>
      </c>
    </row>
    <row r="66" spans="1:15" ht="18.75" thickBot="1" x14ac:dyDescent="0.45">
      <c r="A66" s="7" t="s">
        <v>38</v>
      </c>
      <c r="B66" s="7"/>
      <c r="C66" s="7"/>
      <c r="D66" s="14">
        <f t="shared" ref="D66:J66" si="13">+D65+D45</f>
        <v>-416646689.54999995</v>
      </c>
      <c r="E66" s="14">
        <f t="shared" si="13"/>
        <v>-19737913.989999998</v>
      </c>
      <c r="F66" s="14">
        <f t="shared" si="13"/>
        <v>-246968.49000000022</v>
      </c>
      <c r="G66" s="14">
        <f t="shared" si="13"/>
        <v>-24972542.919999998</v>
      </c>
      <c r="H66" s="14">
        <f t="shared" si="13"/>
        <v>-8758347.5</v>
      </c>
      <c r="I66" s="14">
        <f t="shared" si="13"/>
        <v>-1144397.81</v>
      </c>
      <c r="J66" s="14">
        <f t="shared" si="13"/>
        <v>-471506860.25999999</v>
      </c>
      <c r="M66" s="14">
        <f>+M65+M45</f>
        <v>-428768323.95999992</v>
      </c>
    </row>
    <row r="67" spans="1:15" ht="18.75" thickTop="1" x14ac:dyDescent="0.4">
      <c r="A67" s="7"/>
      <c r="B67" s="7"/>
      <c r="C67" s="7"/>
      <c r="D67" s="13">
        <f t="shared" ref="D67:J67" si="14">+D66+D29</f>
        <v>0</v>
      </c>
      <c r="E67" s="30">
        <f t="shared" si="14"/>
        <v>0</v>
      </c>
      <c r="F67" s="30">
        <f t="shared" si="14"/>
        <v>-2.3283064365386963E-10</v>
      </c>
      <c r="G67" s="30">
        <f t="shared" si="14"/>
        <v>0</v>
      </c>
      <c r="H67" s="30">
        <f t="shared" si="14"/>
        <v>0</v>
      </c>
      <c r="I67" s="30">
        <f t="shared" si="14"/>
        <v>0</v>
      </c>
      <c r="J67" s="30">
        <f t="shared" si="14"/>
        <v>0</v>
      </c>
      <c r="K67" s="46" t="s">
        <v>79</v>
      </c>
      <c r="L67" s="32">
        <f>SUM(L6:L66)</f>
        <v>0</v>
      </c>
      <c r="M67" s="30">
        <f>+M66+M29</f>
        <v>0</v>
      </c>
    </row>
    <row r="68" spans="1:15" x14ac:dyDescent="0.4">
      <c r="A68" s="7"/>
      <c r="B68" s="7"/>
      <c r="C68" s="8"/>
      <c r="D68" s="8"/>
      <c r="E68" s="8"/>
    </row>
    <row r="69" spans="1:15" ht="18" customHeight="1" x14ac:dyDescent="0.4">
      <c r="A69" s="36" t="s">
        <v>3</v>
      </c>
      <c r="B69" s="36"/>
      <c r="C69" s="36"/>
      <c r="D69" s="36"/>
      <c r="E69" s="36"/>
    </row>
    <row r="70" spans="1:15" x14ac:dyDescent="0.4">
      <c r="A70" s="7" t="s">
        <v>39</v>
      </c>
      <c r="B70" s="7"/>
      <c r="C70" s="7"/>
      <c r="D70" s="9"/>
      <c r="E70" s="9"/>
    </row>
    <row r="71" spans="1:15" x14ac:dyDescent="0.4">
      <c r="A71" s="7"/>
      <c r="B71" s="7" t="s">
        <v>59</v>
      </c>
      <c r="C71" s="7"/>
      <c r="D71" s="13">
        <v>-10893533.35</v>
      </c>
      <c r="E71" s="9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47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7"/>
      <c r="B72" s="7" t="s">
        <v>42</v>
      </c>
      <c r="C72" s="7"/>
      <c r="D72" s="9"/>
      <c r="E72" s="9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7"/>
      <c r="B73" s="7"/>
      <c r="C73" s="7" t="s">
        <v>13</v>
      </c>
      <c r="D73" s="13">
        <v>-2818284.07</v>
      </c>
      <c r="E73" s="9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7"/>
      <c r="B74" s="7"/>
      <c r="C74" s="7" t="s">
        <v>43</v>
      </c>
      <c r="D74" s="9">
        <v>-3426490.45</v>
      </c>
      <c r="E74" s="9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47"/>
      <c r="M74" s="1">
        <f t="shared" si="1"/>
        <v>-3490019.18</v>
      </c>
      <c r="O74" s="4">
        <f>3490019.18+M74</f>
        <v>0</v>
      </c>
    </row>
    <row r="75" spans="1:15" x14ac:dyDescent="0.4">
      <c r="A75" s="7"/>
      <c r="B75" s="7" t="s">
        <v>5</v>
      </c>
      <c r="C75" s="7"/>
      <c r="D75" s="9"/>
      <c r="E75" s="9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7"/>
      <c r="B76" s="7"/>
      <c r="C76" s="7" t="s">
        <v>14</v>
      </c>
      <c r="D76" s="12">
        <f t="shared" ref="D76:J76" si="15">SUM(D71:D75)</f>
        <v>-17138307.870000001</v>
      </c>
      <c r="E76" s="12">
        <f t="shared" si="15"/>
        <v>-15158110.43</v>
      </c>
      <c r="F76" s="12">
        <f t="shared" si="15"/>
        <v>0</v>
      </c>
      <c r="G76" s="12">
        <f t="shared" si="15"/>
        <v>0</v>
      </c>
      <c r="H76" s="12">
        <f t="shared" si="15"/>
        <v>-69007.570000000007</v>
      </c>
      <c r="I76" s="12">
        <f t="shared" si="15"/>
        <v>-300000.57</v>
      </c>
      <c r="J76" s="12">
        <f t="shared" si="15"/>
        <v>-32665426.440000001</v>
      </c>
      <c r="M76" s="12">
        <f>SUM(M71:M75)</f>
        <v>-31124152.73</v>
      </c>
      <c r="O76" s="4">
        <f>31124152.73+M76</f>
        <v>0</v>
      </c>
    </row>
    <row r="77" spans="1:15" x14ac:dyDescent="0.4">
      <c r="A77" s="7" t="s">
        <v>40</v>
      </c>
      <c r="B77" s="7"/>
      <c r="C77" s="7"/>
      <c r="D77" s="9"/>
      <c r="E77" s="9"/>
      <c r="H77" s="2"/>
      <c r="I77" s="2"/>
      <c r="J77" s="2"/>
      <c r="M77" s="1">
        <f t="shared" si="1"/>
        <v>0</v>
      </c>
    </row>
    <row r="78" spans="1:15" x14ac:dyDescent="0.4">
      <c r="A78" s="7"/>
      <c r="B78" s="7" t="s">
        <v>7</v>
      </c>
      <c r="C78" s="7"/>
      <c r="D78" s="9">
        <v>5248379.3499999996</v>
      </c>
      <c r="E78" s="9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7"/>
      <c r="B79" s="7" t="s">
        <v>25</v>
      </c>
      <c r="C79" s="7"/>
      <c r="D79" s="9">
        <v>7439667.2199999997</v>
      </c>
      <c r="E79" s="9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47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7"/>
      <c r="B80" s="7" t="s">
        <v>60</v>
      </c>
      <c r="C80" s="7"/>
      <c r="D80" s="9"/>
      <c r="E80" s="9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7"/>
      <c r="B81" s="7" t="s">
        <v>61</v>
      </c>
      <c r="C81" s="7"/>
      <c r="D81" s="9">
        <v>338000</v>
      </c>
      <c r="E81" s="9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63"/>
    </row>
    <row r="82" spans="1:15" x14ac:dyDescent="0.4">
      <c r="A82" s="7"/>
      <c r="B82" s="7"/>
      <c r="C82" s="7" t="s">
        <v>6</v>
      </c>
      <c r="D82" s="12">
        <f t="shared" ref="D82:J82" si="17">SUM(D78:D81)</f>
        <v>13026046.57</v>
      </c>
      <c r="E82" s="12">
        <f t="shared" si="17"/>
        <v>1926562.1600000001</v>
      </c>
      <c r="F82" s="12">
        <f t="shared" si="17"/>
        <v>1090678.93</v>
      </c>
      <c r="G82" s="12">
        <f t="shared" si="17"/>
        <v>1566605.83</v>
      </c>
      <c r="H82" s="12">
        <f t="shared" si="17"/>
        <v>29004.22</v>
      </c>
      <c r="I82" s="12">
        <f t="shared" si="17"/>
        <v>28865.43</v>
      </c>
      <c r="J82" s="12">
        <f t="shared" si="17"/>
        <v>17667763.140000001</v>
      </c>
      <c r="M82" s="61">
        <f>SUM(M78:M81)</f>
        <v>16126489.43</v>
      </c>
    </row>
    <row r="83" spans="1:15" x14ac:dyDescent="0.4">
      <c r="A83" s="7"/>
      <c r="B83" s="7"/>
      <c r="C83" s="7" t="s">
        <v>129</v>
      </c>
      <c r="D83" s="9"/>
      <c r="E83" s="69">
        <f>4270251.98-3969464.48</f>
        <v>300787.50000000047</v>
      </c>
      <c r="F83" s="9"/>
      <c r="G83" s="9"/>
      <c r="H83" s="9"/>
      <c r="I83" s="9"/>
      <c r="J83" s="9"/>
      <c r="M83" s="1">
        <f t="shared" si="16"/>
        <v>0</v>
      </c>
    </row>
    <row r="84" spans="1:15" x14ac:dyDescent="0.4">
      <c r="A84" s="7" t="s">
        <v>15</v>
      </c>
      <c r="B84" s="7"/>
      <c r="C84" s="7"/>
      <c r="D84" s="9">
        <f t="shared" ref="D84:J84" si="18">+D76+D82</f>
        <v>-4112261.3000000007</v>
      </c>
      <c r="E84" s="9">
        <f t="shared" si="18"/>
        <v>-13231548.27</v>
      </c>
      <c r="F84" s="9">
        <f t="shared" si="18"/>
        <v>1090678.93</v>
      </c>
      <c r="G84" s="9">
        <f t="shared" si="18"/>
        <v>1566605.83</v>
      </c>
      <c r="H84" s="9">
        <f t="shared" si="18"/>
        <v>-40003.350000000006</v>
      </c>
      <c r="I84" s="9">
        <f t="shared" si="18"/>
        <v>-271135.14</v>
      </c>
      <c r="J84" s="9">
        <f t="shared" si="18"/>
        <v>-14997663.300000001</v>
      </c>
      <c r="M84" s="1">
        <f t="shared" si="16"/>
        <v>-14997663.300000001</v>
      </c>
    </row>
    <row r="85" spans="1:15" x14ac:dyDescent="0.4">
      <c r="A85" s="7" t="s">
        <v>41</v>
      </c>
      <c r="B85" s="7"/>
      <c r="C85" s="7"/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7" t="s">
        <v>16</v>
      </c>
      <c r="B86" s="7"/>
      <c r="C86" s="7"/>
      <c r="D86" s="17">
        <v>89221.59</v>
      </c>
      <c r="E86" s="24">
        <f>4270251.98-300787.5</f>
        <v>3969464.4800000004</v>
      </c>
      <c r="F86" s="24">
        <v>0</v>
      </c>
      <c r="G86" s="24">
        <v>0</v>
      </c>
      <c r="H86" s="24">
        <v>0</v>
      </c>
      <c r="I86" s="24">
        <v>0</v>
      </c>
      <c r="J86" s="38">
        <f>+I86+H86+G86+F86+E86+D86</f>
        <v>4058686.0700000003</v>
      </c>
      <c r="M86" s="38">
        <f t="shared" si="16"/>
        <v>4058686.0700000003</v>
      </c>
    </row>
    <row r="87" spans="1:15" x14ac:dyDescent="0.4">
      <c r="A87" s="7" t="s">
        <v>29</v>
      </c>
      <c r="B87" s="7"/>
      <c r="C87" s="7"/>
      <c r="D87" s="8">
        <f>SUM(D84:D86)</f>
        <v>-4023039.7100000009</v>
      </c>
      <c r="E87" s="8">
        <f t="shared" ref="E87:J87" si="19">SUM(E84:E86)</f>
        <v>-9262083.7899999991</v>
      </c>
      <c r="F87" s="8">
        <f t="shared" si="19"/>
        <v>1090678.93</v>
      </c>
      <c r="G87" s="8">
        <f t="shared" si="19"/>
        <v>1566605.83</v>
      </c>
      <c r="H87" s="8">
        <f t="shared" si="19"/>
        <v>-40003.350000000006</v>
      </c>
      <c r="I87" s="8">
        <f t="shared" si="19"/>
        <v>-271135.14</v>
      </c>
      <c r="J87" s="8">
        <f t="shared" si="19"/>
        <v>-10938977.23</v>
      </c>
      <c r="M87" s="1">
        <f>SUM(M84:M86)</f>
        <v>-10938977.23</v>
      </c>
    </row>
    <row r="88" spans="1:15" x14ac:dyDescent="0.4">
      <c r="A88" s="7" t="s">
        <v>37</v>
      </c>
      <c r="B88" s="7"/>
      <c r="C88" s="7"/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47" t="s">
        <v>123</v>
      </c>
      <c r="L88" s="1">
        <v>-525007.16</v>
      </c>
      <c r="M88" s="38">
        <f t="shared" si="16"/>
        <v>-525007.16</v>
      </c>
    </row>
    <row r="89" spans="1:15" ht="18.75" thickBot="1" x14ac:dyDescent="0.45">
      <c r="A89" s="7" t="s">
        <v>30</v>
      </c>
      <c r="B89" s="7"/>
      <c r="C89" s="7"/>
      <c r="D89" s="14">
        <f t="shared" ref="D89:J89" si="20">SUM(D87:D88)</f>
        <v>-4023039.7100000009</v>
      </c>
      <c r="E89" s="14">
        <f t="shared" si="20"/>
        <v>-9262083.7899999991</v>
      </c>
      <c r="F89" s="14">
        <f t="shared" si="20"/>
        <v>1090678.93</v>
      </c>
      <c r="G89" s="14">
        <f t="shared" si="20"/>
        <v>1566605.83</v>
      </c>
      <c r="H89" s="14">
        <f t="shared" si="20"/>
        <v>-40003.350000000006</v>
      </c>
      <c r="I89" s="14">
        <f t="shared" si="20"/>
        <v>-271135.14</v>
      </c>
      <c r="J89" s="14">
        <f t="shared" si="20"/>
        <v>-10938977.23</v>
      </c>
      <c r="L89" s="1">
        <f>+SUM(L71:L88)</f>
        <v>-525007.16</v>
      </c>
      <c r="M89" s="62">
        <f>SUM(M87:M88)</f>
        <v>-11463984.390000001</v>
      </c>
    </row>
    <row r="90" spans="1:15" ht="9.9499999999999993" customHeight="1" thickTop="1" x14ac:dyDescent="0.4">
      <c r="A90" s="7"/>
      <c r="B90" s="7"/>
      <c r="C90" s="7"/>
      <c r="D90" s="13"/>
      <c r="E90" s="13"/>
      <c r="F90" s="2"/>
      <c r="G90" s="13"/>
      <c r="H90" s="13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BS_Q2-68</vt:lpstr>
      <vt:lpstr>Changed-Conso</vt:lpstr>
      <vt:lpstr>Changed-Com</vt:lpstr>
      <vt:lpstr>PL_Q2-68</vt:lpstr>
      <vt:lpstr>CashFlow</vt:lpstr>
      <vt:lpstr>Equity</vt:lpstr>
      <vt:lpstr>Conso_Q150</vt:lpstr>
      <vt:lpstr>CashFlow!OLE_LINK3</vt:lpstr>
      <vt:lpstr>'BS_Q2-68'!Print_Area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'PL_Q2-68'!Print_Area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2025-08-13T11:14:38Z</cp:lastPrinted>
  <dcterms:created xsi:type="dcterms:W3CDTF">2003-04-30T06:44:25Z</dcterms:created>
  <dcterms:modified xsi:type="dcterms:W3CDTF">2025-08-13T11:44:55Z</dcterms:modified>
</cp:coreProperties>
</file>